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38400" windowHeight="17775" activeTab="0"/>
  </bookViews>
  <sheets>
    <sheet name="PersönlicheEingaben_Pauschalen" sheetId="1" r:id="rId1"/>
    <sheet name="Reisedaten" sheetId="2" r:id="rId2"/>
    <sheet name="Fahrtkosten" sheetId="3" r:id="rId3"/>
    <sheet name="Verpflegung" sheetId="4" state="hidden" r:id="rId4"/>
    <sheet name="Verpflegung_Wechsel" sheetId="5" state="hidden" r:id="rId5"/>
    <sheet name="Übernachtung" sheetId="6" r:id="rId6"/>
    <sheet name="Reisenebenkosten" sheetId="7" r:id="rId7"/>
    <sheet name="Reisekostenabrechnung" sheetId="8" r:id="rId8"/>
    <sheet name="Sonderregelungen" sheetId="9" state="hidden" r:id="rId9"/>
    <sheet name="Auslandsreisepauschalen" sheetId="10" state="hidden" r:id="rId10"/>
    <sheet name="Bedienungsanleitung" sheetId="11" r:id="rId11"/>
  </sheets>
  <definedNames>
    <definedName name="_xlfn.BAHTTEXT" hidden="1">#NAME?</definedName>
    <definedName name="_xlnm.Print_Area" localSheetId="9">'Auslandsreisepauschalen'!$B$4:$G$247</definedName>
    <definedName name="_xlnm.Print_Area" localSheetId="10">'Bedienungsanleitung'!$B$2:$I$169</definedName>
    <definedName name="_xlnm.Print_Area" localSheetId="2">'Fahrtkosten'!$B$4:$L$50</definedName>
    <definedName name="_xlnm.Print_Area" localSheetId="0">'PersönlicheEingaben_Pauschalen'!$B$2:$N$37</definedName>
    <definedName name="_xlnm.Print_Area" localSheetId="1">'Reisedaten'!$B$2:$M$37</definedName>
    <definedName name="_xlnm.Print_Area" localSheetId="7">'Reisekostenabrechnung'!$B$2:$I$73</definedName>
    <definedName name="_xlnm.Print_Area" localSheetId="6">'Reisenebenkosten'!$B$2:$E$35</definedName>
    <definedName name="_xlnm.Print_Area" localSheetId="5">'Übernachtung'!$B$1:$J$28</definedName>
    <definedName name="_xlnm.Print_Area" localSheetId="3">'Verpflegung'!$B$3:$J$31</definedName>
    <definedName name="_xlnm.Print_Area" localSheetId="4">'Verpflegung_Wechsel'!$B$4:$N$53</definedName>
    <definedName name="_xlnm.Print_Titles" localSheetId="9">'Auslandsreisepauschalen'!$4:$6</definedName>
  </definedNames>
  <calcPr fullCalcOnLoad="1"/>
</workbook>
</file>

<file path=xl/sharedStrings.xml><?xml version="1.0" encoding="utf-8"?>
<sst xmlns="http://schemas.openxmlformats.org/spreadsheetml/2006/main" count="728" uniqueCount="515">
  <si>
    <t>Fahrtkosten</t>
  </si>
  <si>
    <t>Gesamt</t>
  </si>
  <si>
    <t>Aufstellung Nebenkosten</t>
  </si>
  <si>
    <t>Summe Reisenebenkosten</t>
  </si>
  <si>
    <t>Pauschalbeträge für Verpflegungsmehraufwand</t>
  </si>
  <si>
    <t>je</t>
  </si>
  <si>
    <t>Reisekostenabrechnung - Inland</t>
  </si>
  <si>
    <t>Reisenebenkosten</t>
  </si>
  <si>
    <t xml:space="preserve">Mittagessen                     </t>
  </si>
  <si>
    <t>Anzahl</t>
  </si>
  <si>
    <t xml:space="preserve">Frühstück                       </t>
  </si>
  <si>
    <t>Anzahl Mitfahrer</t>
  </si>
  <si>
    <t>Pauschalbetrag je Tag</t>
  </si>
  <si>
    <t xml:space="preserve">Abendessen </t>
  </si>
  <si>
    <t>Beleg-Nr.:</t>
  </si>
  <si>
    <t>Betrag</t>
  </si>
  <si>
    <t>Beleg-
Datum:</t>
  </si>
  <si>
    <t>Kosten für die Unterkunft</t>
  </si>
  <si>
    <t>Nahverkehr</t>
  </si>
  <si>
    <t>Taxi</t>
  </si>
  <si>
    <t>Auszahlungsbetrag</t>
  </si>
  <si>
    <t>Personal-Nr.</t>
  </si>
  <si>
    <t>Abteilung</t>
  </si>
  <si>
    <t>Kostenstelle</t>
  </si>
  <si>
    <t>Straße, Hausnummer</t>
  </si>
  <si>
    <t>Sonstige Angaben</t>
  </si>
  <si>
    <t>Angaben zur Reise</t>
  </si>
  <si>
    <t>Reisezweck</t>
  </si>
  <si>
    <t>Reiseroute</t>
  </si>
  <si>
    <t>Reisebeginn, Datum</t>
  </si>
  <si>
    <t>Reisebeginn, Uhrzeit</t>
  </si>
  <si>
    <t>Reiseende, Datum</t>
  </si>
  <si>
    <t>Reiseende, Uhrheit</t>
  </si>
  <si>
    <t>Reisebeginn und -ende</t>
  </si>
  <si>
    <t>Bahnfahrkarte/n</t>
  </si>
  <si>
    <t>Sonstiges</t>
  </si>
  <si>
    <t>Fahrtkosten laut Einzelnachweis</t>
  </si>
  <si>
    <t>Strecke/Route</t>
  </si>
  <si>
    <t>Gefahrene Kilometer</t>
  </si>
  <si>
    <t>Kilometerpauschale Mitfahrer</t>
  </si>
  <si>
    <t>Anzahl der Übernachtungen</t>
  </si>
  <si>
    <t>Fahrtkosten gesamt</t>
  </si>
  <si>
    <t>Abwesenheit von 24 Stunden</t>
  </si>
  <si>
    <t>Reisedauer in Tagen</t>
  </si>
  <si>
    <t>Reisedauer bei eintägigen Reisen</t>
  </si>
  <si>
    <t>Reisedauer bei eintägigen Reisen über 0:00 ohne Übernachtung</t>
  </si>
  <si>
    <t>Anton Muster GmbH</t>
  </si>
  <si>
    <t>Hugo Beispiel</t>
  </si>
  <si>
    <t>Beispielgasse 12</t>
  </si>
  <si>
    <t>50000 Beispielhausen</t>
  </si>
  <si>
    <t>Reiseziel u. -zweck</t>
  </si>
  <si>
    <t>Reisebeginn</t>
  </si>
  <si>
    <t>Reiseende</t>
  </si>
  <si>
    <t>Fahrtkosten für privat genutzte Fahrzeuge, gesamt</t>
  </si>
  <si>
    <t>Übernachtungspauschale</t>
  </si>
  <si>
    <t>Reisenebenkosten gem. gesonderter Anlage</t>
  </si>
  <si>
    <t>Flugticket/s</t>
  </si>
  <si>
    <t>Reisedauer bei eintägiger Reise in Stunden</t>
  </si>
  <si>
    <t>Fahrtkosten laut Einzelnachweis - Gesamtkosten gem. oben erfasster Eingaben</t>
  </si>
  <si>
    <t>Errechnete Reisedauer, bei eintägiger Reise in Stunden</t>
  </si>
  <si>
    <t>Errechnete Reisedauer, bei mehrtägigen Reisen in Tagen</t>
  </si>
  <si>
    <t>Fahrrad</t>
  </si>
  <si>
    <t>Motorrad/Motorroller</t>
  </si>
  <si>
    <t>Moped/Mofa</t>
  </si>
  <si>
    <t>Datum</t>
  </si>
  <si>
    <t>Uhrzeit</t>
  </si>
  <si>
    <t>Privatanschrift Reisender</t>
  </si>
  <si>
    <t>Bankverbindung Reisender</t>
  </si>
  <si>
    <t>Fahrtkosten für privat genutzte Fahrzeuge</t>
  </si>
  <si>
    <t>Kilometerpauschale pro km</t>
  </si>
  <si>
    <t>Fahrtkosten für privat genutzte Fahrzeuge gemäß Pauschale</t>
  </si>
  <si>
    <t>Kfz-Kosten</t>
  </si>
  <si>
    <t>Kürzung der Verpflegungspauschale</t>
  </si>
  <si>
    <t>Bedienungsanleitung</t>
  </si>
  <si>
    <t>Kürzung Verpflegungspauschale aufgrund Arbeitnehmerbewirtung</t>
  </si>
  <si>
    <t>Abreisetag</t>
  </si>
  <si>
    <t>Reisedauer bei mehrtägigen Reisen in Tagen</t>
  </si>
  <si>
    <t>Internes Rechnungswesen</t>
  </si>
  <si>
    <t>Land</t>
  </si>
  <si>
    <t xml:space="preserve">Pauschbeträge für Verpflegungsmehr-
aufwendungen bei einer Abwesenheitsdauer je Kalendertag von </t>
  </si>
  <si>
    <t xml:space="preserve">Pauschbetrag für Übernach-
tungskosten </t>
  </si>
  <si>
    <t xml:space="preserve">mindestens 24 Stunden </t>
  </si>
  <si>
    <t>weniger als 24 Stunden, aber mehr als 8 Stunden</t>
  </si>
  <si>
    <t xml:space="preserve">An- und Abreisetage   </t>
  </si>
  <si>
    <t>€</t>
  </si>
  <si>
    <t>EUR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</si>
  <si>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</si>
  <si>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</si>
  <si>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</si>
  <si>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</si>
  <si>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</si>
  <si>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</si>
  <si>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</si>
  <si>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</si>
  <si>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</si>
  <si>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</si>
  <si>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</si>
  <si>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</si>
  <si>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</t>
  </si>
  <si>
    <t>Bahrain</t>
  </si>
  <si>
    <t>Bangladesch</t>
  </si>
  <si>
    <t>Barbados</t>
  </si>
  <si>
    <t>Belgien</t>
  </si>
  <si>
    <t>Benin</t>
  </si>
  <si>
    <t>Bolivien</t>
  </si>
  <si>
    <t>Bosnien und Herzegowina</t>
  </si>
  <si>
    <t>Botsuana</t>
  </si>
  <si>
    <t>Brasilien</t>
  </si>
  <si>
    <t>Brunei</t>
  </si>
  <si>
    <t>Bulgarien</t>
  </si>
  <si>
    <t>Burkina Faso</t>
  </si>
  <si>
    <t>Burundi</t>
  </si>
  <si>
    <t>Chile</t>
  </si>
  <si>
    <t>China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</si>
  <si>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</si>
  <si>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</si>
  <si>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</si>
  <si>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</si>
  <si>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</si>
  <si>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</si>
  <si>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</si>
  <si>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</si>
  <si>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</si>
  <si>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</si>
  <si>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</si>
  <si>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</si>
  <si>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</t>
  </si>
  <si>
    <t>Gabun</t>
  </si>
  <si>
    <t>Gambia</t>
  </si>
  <si>
    <t>Georgien</t>
  </si>
  <si>
    <t>Ghana</t>
  </si>
  <si>
    <t>Grenada</t>
  </si>
  <si>
    <t>Griechenland</t>
  </si>
  <si>
    <t>Guatemala</t>
  </si>
  <si>
    <t>Guinea</t>
  </si>
  <si>
    <t>Guinea-Bissau</t>
  </si>
  <si>
    <t>Guyana</t>
  </si>
  <si>
    <t>Haiti</t>
  </si>
  <si>
    <t>Honduras</t>
  </si>
  <si>
    <t>Indien</t>
  </si>
  <si>
    <t>Indonesien</t>
  </si>
  <si>
    <t>Iran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</si>
  <si>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</si>
  <si>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</si>
  <si>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</si>
  <si>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</si>
  <si>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</si>
  <si>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</si>
  <si>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</si>
  <si>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</si>
  <si>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</si>
  <si>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</si>
  <si>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Kanada</t>
  </si>
  <si>
    <t>Kap Verde</t>
  </si>
  <si>
    <t>Kasachstan</t>
  </si>
  <si>
    <t>Katar</t>
  </si>
  <si>
    <t>Kenia</t>
  </si>
  <si>
    <t>Kirgisistan</t>
  </si>
  <si>
    <t>Kolumbien</t>
  </si>
  <si>
    <t>Kongo, Republik</t>
  </si>
  <si>
    <t>Kongo, Demokratische Republik</t>
  </si>
  <si>
    <t>Korea, Demokratische Volksrepublik</t>
  </si>
  <si>
    <t>Korea, Republik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</si>
  <si>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</si>
  <si>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</si>
  <si>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</si>
  <si>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</si>
  <si>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</si>
  <si>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</si>
  <si>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</si>
  <si>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</si>
  <si>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</si>
  <si>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</si>
  <si>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</si>
  <si>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</si>
  <si>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</si>
  <si>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</si>
  <si>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</si>
  <si>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</si>
  <si>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</si>
  <si>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</si>
  <si>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</si>
  <si>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</si>
  <si>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</si>
  <si>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</si>
  <si>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</si>
  <si>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Mikronesien</t>
  </si>
  <si>
    <t>Moldau, Republik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</si>
  <si>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</si>
  <si>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</si>
  <si>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</si>
  <si>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</si>
  <si>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</si>
  <si>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</si>
  <si>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</si>
  <si>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</si>
  <si>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</si>
  <si>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</si>
  <si>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</si>
  <si>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</si>
  <si>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</si>
  <si>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</si>
  <si>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</si>
  <si>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</t>
  </si>
  <si>
    <t>Palau</t>
  </si>
  <si>
    <t>Panama</t>
  </si>
  <si>
    <t>Papua-Neuguinea</t>
  </si>
  <si>
    <t>Paraguay</t>
  </si>
  <si>
    <t>Peru</t>
  </si>
  <si>
    <t>Philippinen</t>
  </si>
  <si>
    <t>Polen</t>
  </si>
  <si>
    <t>Portugal</t>
  </si>
  <si>
    <t>Ruanda</t>
  </si>
  <si>
    <t>Rumänien</t>
  </si>
  <si>
    <t>Russische Föderation</t>
  </si>
  <si>
    <t>Sambia</t>
  </si>
  <si>
    <t>Samoa</t>
  </si>
  <si>
    <t>São Tomé – Príncipe</t>
  </si>
  <si>
    <t>San Marino</t>
  </si>
  <si>
    <t>Saudi-Arabien</t>
  </si>
  <si>
    <t>Schweden</t>
  </si>
  <si>
    <t>Schweiz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</si>
  <si>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</si>
  <si>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</si>
  <si>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</si>
  <si>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</si>
  <si>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</si>
  <si>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</si>
  <si>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</si>
  <si>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</t>
  </si>
  <si>
    <t>Sri Lanka</t>
  </si>
  <si>
    <t>St. Kitts und Nevis</t>
  </si>
  <si>
    <t>St. Lucia</t>
  </si>
  <si>
    <t>St. Vincent und die Grenadinen</t>
  </si>
  <si>
    <t>Sudan</t>
  </si>
  <si>
    <t>Südafrika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</si>
  <si>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</si>
  <si>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</si>
  <si>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</si>
  <si>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</si>
  <si>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</si>
  <si>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</si>
  <si>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</si>
  <si>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</si>
  <si>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</si>
  <si>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</si>
  <si>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</si>
  <si>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</si>
  <si>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Türkei</t>
  </si>
  <si>
    <t>Tunesien</t>
  </si>
  <si>
    <t>Turkmenistan</t>
  </si>
  <si>
    <t>Uganda</t>
  </si>
  <si>
    <t>Ukraine</t>
  </si>
  <si>
    <t>Ungarn</t>
  </si>
  <si>
    <t>Uruguay</t>
  </si>
  <si>
    <t>Usbekistan</t>
  </si>
  <si>
    <t>Vatikanstaat</t>
  </si>
  <si>
    <t>Venezuela</t>
  </si>
  <si>
    <t>Vereinigte Arabische Emirate</t>
  </si>
  <si>
    <t>Vereinigte Staaten von Amerika</t>
  </si>
  <si>
    <t xml:space="preserve"> </t>
  </si>
  <si>
    <t>Vietnam</t>
  </si>
  <si>
    <t>Weißrussland</t>
  </si>
  <si>
    <t>Zentralafrikanische Republik</t>
  </si>
  <si>
    <t>Zypern</t>
  </si>
  <si>
    <t>Deutschland</t>
  </si>
  <si>
    <t>Reiseziel / Land</t>
  </si>
  <si>
    <t>Reiseziel / Stadt</t>
  </si>
  <si>
    <t>Reisen mit wechselndem Einsatzort</t>
  </si>
  <si>
    <t>Rumänien/Bukarest</t>
  </si>
  <si>
    <t>Rumänien/im Übrigen</t>
  </si>
  <si>
    <t>USA/Atlanta</t>
  </si>
  <si>
    <t>USA/Boston</t>
  </si>
  <si>
    <t>USA/Chicago</t>
  </si>
  <si>
    <t>USA/Houston</t>
  </si>
  <si>
    <t>USA/Los Angeles</t>
  </si>
  <si>
    <t>USA/Miami</t>
  </si>
  <si>
    <t>USA/New York City</t>
  </si>
  <si>
    <t>USA/San Francisco</t>
  </si>
  <si>
    <t>Verein.  Königreich von GB u. Nordirland</t>
  </si>
  <si>
    <t>GB/London</t>
  </si>
  <si>
    <t>Reisedaten bei wechselnder Route</t>
  </si>
  <si>
    <t>Anzahl Tage</t>
  </si>
  <si>
    <t>Daten automatisch kopieren und drucken</t>
  </si>
  <si>
    <t>Pauschale</t>
  </si>
  <si>
    <t>Kürzung Pauschale</t>
  </si>
  <si>
    <t>Frühstück</t>
  </si>
  <si>
    <t>Mittag</t>
  </si>
  <si>
    <t>Abend</t>
  </si>
  <si>
    <t>Kürzung</t>
  </si>
  <si>
    <t>Vorsicht!</t>
  </si>
  <si>
    <t>Kürzung Pauschale zwischen Anreise und Abreisetag unterscheiden?</t>
  </si>
  <si>
    <t>Anreisetag</t>
  </si>
  <si>
    <t>Abwesenheit von mehr als 8 Stunden</t>
  </si>
  <si>
    <t>Verpflegung</t>
  </si>
  <si>
    <t>Mittagessen</t>
  </si>
  <si>
    <t>Abendessen</t>
  </si>
  <si>
    <t xml:space="preserve">                Kürzung Pauschale</t>
  </si>
  <si>
    <t>Pauschale Abreisetag</t>
  </si>
  <si>
    <t>Kürzung
der Pauschale</t>
  </si>
  <si>
    <t xml:space="preserve">Übernachtung </t>
  </si>
  <si>
    <t>Bereiste Länder und Orte</t>
  </si>
  <si>
    <t>Erstattung für Pauschalübernachtungen</t>
  </si>
  <si>
    <t>Sonderregelungen</t>
  </si>
  <si>
    <t>Mit Hilfe dieses Tools haben Sie die Möglichkeit, jeweils eine Reise abzurechnen. Die Tabelle arbeitet mit folgenden Rubriken, für die jeweils ein</t>
  </si>
  <si>
    <t>eigenes Register zur Verfügung steht. Auf diese Weise ist es möglich, alle Angaben sehr detailliert und gleichzeitig sehr komfortabel zu erfassen:</t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</si>
  <si>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Persönliche Eingaben und Pauschalen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</si>
  <si>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Reisedaten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</si>
  <si>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Fahrtkosten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</si>
  <si>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Reisenebenkosten</t>
    </r>
  </si>
  <si>
    <t>Persönliche Daten</t>
  </si>
  <si>
    <r>
      <t xml:space="preserve">Erfassen Sie die persönlichen Daten, einmalig in der Tabelle </t>
    </r>
    <r>
      <rPr>
        <i/>
        <sz val="8"/>
        <rFont val="Calibri"/>
        <family val="2"/>
      </rPr>
      <t>PersönlicheEingaben_Pauschalen</t>
    </r>
    <r>
      <rPr>
        <sz val="8"/>
        <rFont val="Calibri"/>
        <family val="2"/>
      </rPr>
      <t>. Im Einzelnen handelt  es sich um folgende Angaben: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</si>
  <si>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Name der Firma bzw.  Organisation bei der Sie beschäftigt sind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</si>
  <si>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Ihr Name und Vorname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</si>
  <si>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Personal-Nr., Abteilung und Kostenstelle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</si>
  <si>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Privatanschrift: Straße, Hausnummer, PLZ und Ort</t>
    </r>
  </si>
  <si>
    <t xml:space="preserve">Hinweis: Wenn Sie bereits eine Reise abgerechnet haben und die in diesem Zusammenhang erfassten Daten löschen möchten, klicken Sie </t>
  </si>
  <si>
    <t>wenn Ihre Reisen andere Ziele bzw. Routen haben.</t>
  </si>
  <si>
    <t>Reisedaten</t>
  </si>
  <si>
    <r>
      <t xml:space="preserve">In der Tabelle </t>
    </r>
    <r>
      <rPr>
        <i/>
        <sz val="8"/>
        <rFont val="Calibri"/>
        <family val="2"/>
      </rPr>
      <t>Reisedaten</t>
    </r>
    <r>
      <rPr>
        <sz val="8"/>
        <rFont val="Calibri"/>
        <family val="2"/>
      </rPr>
      <t xml:space="preserve"> erfassen Sie folgende Informationen zu Ihrer Reise: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</si>
  <si>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Reiseziel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</si>
  <si>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Reisezweck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</si>
  <si>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Reisebeginn und -ende, jeweils mit Datum und Uhrzeit</t>
    </r>
  </si>
  <si>
    <t xml:space="preserve">Hinweis: Für den Fall, dass Sie eine Reise über Mitternacht ohne Übernachtung durchgeführt haben, haken Sie bitte das Kontrollkästchen </t>
  </si>
  <si>
    <r>
      <t xml:space="preserve">Mitternachtsregelung anwenden </t>
    </r>
    <r>
      <rPr>
        <sz val="8"/>
        <rFont val="Calibri"/>
        <family val="2"/>
      </rPr>
      <t>ab. Diese Angabe ist für eine korrekte Abrechnung Ihrer Reise zwingend notwendig.</t>
    </r>
  </si>
  <si>
    <t xml:space="preserve">Excel erkennt anhand Ihrer Angaben, ob es sich um eine ein- oder mehrtägige Reise handelt. Bei eintägigen Reisen ermittelt das Tool  </t>
  </si>
  <si>
    <t xml:space="preserve">automatisch die Abwesenheitszeit in Stunden und Minuten. Sie finden die Informationen rechts neben Ihren Eingaben. Auf Basis dieser Berechnungen  </t>
  </si>
  <si>
    <t>werden Ihre Verpflegungspauschalen – ebenfalls automatisch – ermittelt.</t>
  </si>
  <si>
    <t>angefallen sind, gelangen Sie mit Hilfe der nachfolgenden Schaltflächen direkt zu dem gewünschten Register.</t>
  </si>
  <si>
    <t>Fahrtkosten können sich aus mehreren Positionen zusammensetzen:</t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</si>
  <si>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Bahnfahrkarte/n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</si>
  <si>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Kosten für das Nutzen des öffentlichen Nahverkehrs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</si>
  <si>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Taxi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</si>
  <si>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Flugticket/s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</si>
  <si>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Kfz-Kosten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</si>
  <si>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Sonstiges</t>
    </r>
  </si>
  <si>
    <t xml:space="preserve">Routen zu erfassen. Geben Sie für jede Route die gefahrenen Kilometer an. Für den Fall, dass Sie Mitfahrer hatten, sind folgende </t>
  </si>
  <si>
    <t>Angaben notwendig:</t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</si>
  <si>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Anzahl der Mitfahrer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</si>
  <si>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Kilometeranzahl, bei der Sie Mitfahrer hatten</t>
    </r>
  </si>
  <si>
    <t>nächsten Register. Falls Sie dort keine Angaben machen müssen, wählen Sie eine der übrigen Schaltflächen.</t>
  </si>
  <si>
    <t>Entsprechend der Reiseroute sind hier fünf Angaben möglich.</t>
  </si>
  <si>
    <t xml:space="preserve">Kürzung der Verpflegungspauschale wegen Arbeitnehmerverpflegung (Anzahl der erhaltenen Mahlzeiten, also </t>
  </si>
  <si>
    <t>Frühstück, Mittag- und Abendessen).</t>
  </si>
  <si>
    <t>Das Tool ermittelt alle zugehörigen Beträge. Dazu gehören auch die Verpflegungspauschalen.</t>
  </si>
  <si>
    <r>
      <t xml:space="preserve">Über die Schaltfläche </t>
    </r>
    <r>
      <rPr>
        <i/>
        <sz val="8"/>
        <rFont val="Calibri"/>
        <family val="2"/>
      </rPr>
      <t>Reisenebenkosten</t>
    </r>
    <r>
      <rPr>
        <sz val="8"/>
        <rFont val="Calibri"/>
        <family val="2"/>
      </rPr>
      <t xml:space="preserve"> gelangen Sie zur letzten Eingabetabelle.</t>
    </r>
  </si>
  <si>
    <t>Diese Tabelle ist im Prinzip selbsterklärend und erwartet eine Aufstellung der Nebenkosten einschließlich Beleg-Datum,</t>
  </si>
  <si>
    <t>Beleg-Nr. und Betrag.</t>
  </si>
  <si>
    <t>Reisekostenabrechnung</t>
  </si>
  <si>
    <t>Für folgende Länder gelten je nach Einsatzort unterschieldliche Verpflegungs- und Übernachtungspauschalen.</t>
  </si>
  <si>
    <t>In diesen Fällen müssen Sie ggf. eine Stadt angeben.  Ansonsten wählen Sie das Land mit dem Zusatz "Übrige" aus.</t>
  </si>
  <si>
    <t>Bitte unbedingt angeben!</t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</si>
  <si>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Sonderregelungen (ausgeblendet, kann bei Bedarf aufgerufen werden)</t>
    </r>
  </si>
  <si>
    <t>gewährt. Wenn Sie die Reiseroute während Ihrer Geschäftsreise wechseln, müssen Sie in diesen Fällen genaue Ortsangaben machen.</t>
  </si>
  <si>
    <t>Weitere Informationen zu Sonderregelungen und Auslandspauschalen erhalten Sie hier:</t>
  </si>
  <si>
    <r>
      <t>In der Tabelle</t>
    </r>
    <r>
      <rPr>
        <i/>
        <sz val="8"/>
        <rFont val="Calibri"/>
        <family val="2"/>
      </rPr>
      <t xml:space="preserve"> Übernachtung  </t>
    </r>
    <r>
      <rPr>
        <sz val="8"/>
        <rFont val="Calibri"/>
        <family val="2"/>
      </rPr>
      <t>werden folgende Eingaben verlangt:</t>
    </r>
  </si>
  <si>
    <t xml:space="preserve">Für den Fall, dass Übernachtungspauschalen zu berücksichtigen sind, machen Sie bitte im unteren Eingabebereich </t>
  </si>
  <si>
    <t>die entsprechenden Angaben.</t>
  </si>
  <si>
    <t>Einfacher ist die Abrechnung nach einem Pauschalsatz. Hier werden lediglich folgende Eingaben verlangt:</t>
  </si>
  <si>
    <t>Angabe der bereisten Länder/Städte</t>
  </si>
  <si>
    <t>Verweildauer in den bereisten Ländern/Städten</t>
  </si>
  <si>
    <t>Hinweis: Bitte achten Sie unbedingt darauf, dass An- und Abreisetag gesondert anzugeben sind.</t>
  </si>
  <si>
    <t>erhalten.</t>
  </si>
  <si>
    <r>
      <t xml:space="preserve">Über die Schaltfläche </t>
    </r>
    <r>
      <rPr>
        <i/>
        <sz val="8"/>
        <rFont val="Calibri"/>
        <family val="2"/>
      </rPr>
      <t>Übernachtung</t>
    </r>
    <r>
      <rPr>
        <sz val="8"/>
        <rFont val="Calibri"/>
        <family val="2"/>
      </rPr>
      <t xml:space="preserve"> gelangen Sie zur letzten Eingabetabelle.</t>
    </r>
  </si>
  <si>
    <t>Frühstück, Mittag- und Abendessen). An- und Abreisetag bitte gesondert angeben.</t>
  </si>
  <si>
    <t>Im Zusammenhang mit der Abrechnung von Verpflegungspauschalen werden zwei Fälle unterschieden:</t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</si>
  <si>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Verpflegung/Wechsel (ausgeblendet, wird in Abhängigkeit vom Einsatzort bzw. wechselnden Einsatzorten eingeblendet)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</si>
  <si>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 xml:space="preserve">Übernachtung </t>
    </r>
  </si>
  <si>
    <t>Hinweis: Die Eingabefelder erkennen Sie in diesem Tool an einem hellgrauen Zellhintergrund.</t>
  </si>
  <si>
    <t>In einigen Ländern, z. B. Frankreich und  Schweiz, werden für bestimmte Städte unterschiedliche Verpflegungs- und Übernachtungspauschalen</t>
  </si>
  <si>
    <t>Achtung: Sie müssen das Kontrollkästchen nur dann abhaken, wenn mit den unterschiedlichen Einsatzorten unterschiedliche Pauschalen verbunden sind.</t>
  </si>
  <si>
    <t>a) Abrechnung nach einem Pauschalsatz</t>
  </si>
  <si>
    <t>b) Abrechnung nach unterschiedlichen Pauschalsätzen</t>
  </si>
  <si>
    <t>Tatsächliche Kosten laut Einzelnachweis (ohne Verpflegung)</t>
  </si>
  <si>
    <t>Pauschbeträge für Verpflegungsmehraufwand (nach Kürzung)</t>
  </si>
  <si>
    <t>Kürzung Anreisetag / eintägige Reisen</t>
  </si>
  <si>
    <t>Kürzung Zwischentage  / Abwesenheitstage mit mindestens 24 Stunden</t>
  </si>
  <si>
    <t>Kürzung Abreisetag</t>
  </si>
  <si>
    <t>PLZ, Ort</t>
  </si>
  <si>
    <t>IBAN</t>
  </si>
  <si>
    <t>BIC</t>
  </si>
  <si>
    <t>PKW</t>
  </si>
  <si>
    <t>Firma, Organisation</t>
  </si>
  <si>
    <t>Name, Vorname</t>
  </si>
  <si>
    <t>DE123456789123456798</t>
  </si>
  <si>
    <t>12345678912345678912</t>
  </si>
  <si>
    <t>Persönliche Eingaben und Pauschalen</t>
  </si>
  <si>
    <t>Zusammenfassung</t>
  </si>
  <si>
    <t>Reiseende, Uhrzeit</t>
  </si>
  <si>
    <t>Bereits ausgezahlter Vorschuss</t>
  </si>
  <si>
    <t>Errechnete Reisedauer, bei eintägigen Reisen in Stunden</t>
  </si>
  <si>
    <t>Abzüglich Vorschuss</t>
  </si>
  <si>
    <t>Reisekosten gesamt</t>
  </si>
  <si>
    <t>Abrechnung erstellt</t>
  </si>
  <si>
    <t>Genehmigt</t>
  </si>
  <si>
    <t xml:space="preserve">Datum, Unterschrift </t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</si>
  <si>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 xml:space="preserve">Bankverbindung </t>
    </r>
  </si>
  <si>
    <t>Sollten Sie im Falle einer privaten Fahrzeugnutzung keinen PKW fahren, stellen Sie das gewünschte Fahrzeug über das Dropdownfeld ein.</t>
  </si>
  <si>
    <r>
      <t xml:space="preserve">auf die Schaltfläche </t>
    </r>
    <r>
      <rPr>
        <i/>
        <sz val="8"/>
        <rFont val="Calibri"/>
        <family val="2"/>
      </rPr>
      <t xml:space="preserve">Hier klicken um alle Abrechnungsdaten zu löschen. </t>
    </r>
    <r>
      <rPr>
        <sz val="8"/>
        <rFont val="Calibri"/>
        <family val="2"/>
      </rPr>
      <t xml:space="preserve">Diese Möglichkeit ist nicht zwingend notwendig und nur dann sinnvoll, </t>
    </r>
  </si>
  <si>
    <r>
      <t xml:space="preserve">Über die Schaltfläche </t>
    </r>
    <r>
      <rPr>
        <i/>
        <sz val="8"/>
        <rFont val="Calibri"/>
        <family val="2"/>
      </rPr>
      <t>Weiter zu den Reisedaten</t>
    </r>
    <r>
      <rPr>
        <sz val="8"/>
        <rFont val="Calibri"/>
        <family val="2"/>
      </rPr>
      <t xml:space="preserve"> gelangen Sie zur nächsten Eingabetabelle.</t>
    </r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</si>
  <si>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bereits ausgezahlter Vorschuss</t>
    </r>
  </si>
  <si>
    <r>
      <t xml:space="preserve">Über die Schaltfläche </t>
    </r>
    <r>
      <rPr>
        <i/>
        <sz val="8"/>
        <rFont val="Calibri"/>
        <family val="2"/>
      </rPr>
      <t>Weiter zu den Fahrtkosten</t>
    </r>
    <r>
      <rPr>
        <sz val="8"/>
        <rFont val="Calibri"/>
        <family val="2"/>
      </rPr>
      <t xml:space="preserve"> erreichen Sie die nächste Eingabetabelle. Für den Fall, dass keine Fahrtkosten </t>
    </r>
  </si>
  <si>
    <r>
      <t xml:space="preserve">Die kompletten Fahrtkosten ermittelt das Tool. Über die Schaltfläche </t>
    </r>
    <r>
      <rPr>
        <i/>
        <sz val="8"/>
        <rFont val="Calibri"/>
        <family val="2"/>
      </rPr>
      <t>Weiter zu Übernachtung und Verpflegung</t>
    </r>
    <r>
      <rPr>
        <sz val="8"/>
        <rFont val="Calibri"/>
        <family val="2"/>
      </rPr>
      <t xml:space="preserve"> gelangen Sie zum </t>
    </r>
  </si>
  <si>
    <t>a) Für die gesamte Reise sind keine wechselnden Einsatzorte zu berücksichtigen (Abrechnung nach einem Pauschalsatz)</t>
  </si>
  <si>
    <t>b) Für die gesamte Reise sind aufgrund unterschiedlicher Pauschalen wechselnde Einsatzorte zu berücksichtigen</t>
  </si>
  <si>
    <t>Umfassender ist die Abrechnung nach unterschiedlichen Pauschalsätzen. Hier werden folgende Eingaben verlangt:</t>
  </si>
  <si>
    <t>Das Tool ist in der Lage zahlreiche fehlerhafte Eingaben abzufangen. Achten Sie bitte ggf. auf die Hinweise, die Sie von Excel</t>
  </si>
  <si>
    <t>Übernachtungskosten laut Einzelnachweis: Angabe von Hotel, Anzahl der Übernachtungen sowie der zugehörige Betrag.</t>
  </si>
  <si>
    <t xml:space="preserve"> Reisedauer bei mehrtägigen Reisen in Tagen</t>
  </si>
  <si>
    <t>Pauschale für An- und Abreisetag</t>
  </si>
  <si>
    <t>Kontrollkästchen nur dann ab, wenn unterschiedliche Pauschalen zu berüchsichtigen sind.</t>
  </si>
  <si>
    <t>Um in diesen Fällen eine korrekte Berechnung zu gewährleisten, sind die Reisetage manuell auf dem Tabellenblatt "Verpflegung_Wechsel" zu erfassen."</t>
  </si>
  <si>
    <r>
      <t>Für die Berechnung der Verpflegungspauschale des Rückreisetages wird automatisch auf den letzten Reiseort abgestellt. Etwaige Abweichungen hiervon sind manuell zu erfassen.</t>
    </r>
    <r>
      <rPr>
        <sz val="8"/>
        <color indexed="63"/>
        <rFont val="Tahoma"/>
        <family val="2"/>
      </rPr>
      <t>"</t>
    </r>
  </si>
  <si>
    <t>Zusatzinformationen im Falle mehrtägiger Anreisen bei Auslandsreisen</t>
  </si>
  <si>
    <r>
      <t xml:space="preserve">Bei </t>
    </r>
    <r>
      <rPr>
        <b/>
        <sz val="8"/>
        <color indexed="63"/>
        <rFont val="Tahoma"/>
        <family val="2"/>
      </rPr>
      <t>Flugreisen</t>
    </r>
    <r>
      <rPr>
        <sz val="8"/>
        <color indexed="63"/>
        <rFont val="Tahoma"/>
        <family val="2"/>
      </rPr>
      <t xml:space="preserve"> gilt ein Land in dem Zeitpunkt als erreicht, in dem das Flugzeug dort landet. Beginnt eine Flugreise am Tag 1 und landet das Flugzeug</t>
    </r>
  </si>
  <si>
    <r>
      <t xml:space="preserve">Gleiches gilt, wenn sich z. B. die </t>
    </r>
    <r>
      <rPr>
        <b/>
        <sz val="8"/>
        <color indexed="63"/>
        <rFont val="Tahoma"/>
        <family val="2"/>
      </rPr>
      <t>Anreise mit dem Pkw</t>
    </r>
    <r>
      <rPr>
        <sz val="8"/>
        <color indexed="63"/>
        <rFont val="Tahoma"/>
        <family val="2"/>
      </rPr>
      <t xml:space="preserve"> auf 2 Tage erstreckt. Länder, die anlässlich der Auslandstätigkeit durchfahren werden, sind für die </t>
    </r>
  </si>
  <si>
    <t xml:space="preserve">Ermittlung der zutreffenden Auslandspauschalen grundsätzlich nicht zu berücksichtigen. Eine Ausnahme gilt, wenn der Arbeitnehmer auf der Hinreise nicht an </t>
  </si>
  <si>
    <t>seinem Zielort übernachtet, sondern in einem sog. Durchreiseland.</t>
  </si>
  <si>
    <r>
      <t xml:space="preserve">Eine </t>
    </r>
    <r>
      <rPr>
        <b/>
        <sz val="8"/>
        <color indexed="63"/>
        <rFont val="Tahoma"/>
        <family val="2"/>
      </rPr>
      <t>Besonderheit</t>
    </r>
    <r>
      <rPr>
        <sz val="8"/>
        <color indexed="63"/>
        <rFont val="Tahoma"/>
        <family val="2"/>
      </rPr>
      <t xml:space="preserve"> gilt, sobald sich eine Flugreise über mehr als 2 Kalendertage erstreckt. In diesen Fällen ist für die Tage zwischen Abflug und Landung die</t>
    </r>
  </si>
  <si>
    <r>
      <t xml:space="preserve">Für </t>
    </r>
    <r>
      <rPr>
        <b/>
        <sz val="8"/>
        <color indexed="63"/>
        <rFont val="Tahoma"/>
        <family val="2"/>
      </rPr>
      <t>Rückreisetage</t>
    </r>
    <r>
      <rPr>
        <sz val="8"/>
        <color indexed="63"/>
        <rFont val="Tahoma"/>
        <family val="2"/>
      </rPr>
      <t xml:space="preserve"> ist grundsätzlich auf den letzten Tätigkeitsort im Ausland abzustellen. Als Tätigkeitsort kommt dabei nur ein Land in Betracht, in dem der </t>
    </r>
  </si>
  <si>
    <t>Arbeitnehmer tatsächlich beruflich tätig geworden ist. Eine bloße Übernachtung im Rahmen einer Auswärtstätigkeit ist nicht ausreichend.</t>
  </si>
  <si>
    <t>Auslandstagesgeld. Etwaige Zwischenlandungen bleiben grundsätzlich unberücksichtigt.   </t>
  </si>
  <si>
    <t xml:space="preserve">am Zielort erst am nächsten Tag (Tag 2) ist für den Anreisetag (Tag 1) die Inlandspauschale anzusetzen, für den Tag der Landung (Tag 2) das entsprechende </t>
  </si>
  <si>
    <t>GB/im Übrigen</t>
  </si>
  <si>
    <t>Ausgangs-wert nach BRKG</t>
  </si>
  <si>
    <r>
      <t xml:space="preserve">In der Reisekostenabrechnung laufen alle Informationen zusammen. Durch einen Klick auf die Schaltfläche </t>
    </r>
    <r>
      <rPr>
        <i/>
        <sz val="8"/>
        <rFont val="Calibri"/>
        <family val="2"/>
      </rPr>
      <t>Schnelldruck der</t>
    </r>
    <r>
      <rPr>
        <sz val="8"/>
        <rFont val="Calibri"/>
        <family val="2"/>
      </rPr>
      <t xml:space="preserve"> </t>
    </r>
  </si>
  <si>
    <r>
      <t xml:space="preserve">Reisekostenabrechnung </t>
    </r>
    <r>
      <rPr>
        <sz val="8"/>
        <rFont val="Calibri"/>
        <family val="2"/>
      </rPr>
      <t>erzeugen Sie ein Exemplar Ihrer Reisekostenabrechnung. Fehlt nur noch die Unterschrift.</t>
    </r>
  </si>
  <si>
    <t>Pauschale
gesamt</t>
  </si>
  <si>
    <t>Pauschale
für 24 Std.</t>
  </si>
  <si>
    <t>Anzahl
Tage</t>
  </si>
  <si>
    <t>Anzahl Tage ohne
An- und Abreise</t>
  </si>
  <si>
    <t>Saldo/
Auszahlung</t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</si>
  <si>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>Reiseroute (hier besteht die Möglichkeit, bis zu vier Stationen zu erfassen)</t>
    </r>
  </si>
  <si>
    <r>
      <rPr>
        <i/>
        <sz val="8"/>
        <color indexed="62"/>
        <rFont val="Calibri"/>
        <family val="2"/>
      </rPr>
      <t xml:space="preserve">Einsatzort </t>
    </r>
    <r>
      <rPr>
        <sz val="8"/>
        <color indexed="62"/>
        <rFont val="Calibri"/>
        <family val="2"/>
      </rPr>
      <t>korrekt einzustellen. Haken Sie das Kontrollkästchen nur dann ab, wenn unterschiedliche Pauschalen zu berücksichtigen sind.</t>
    </r>
  </si>
  <si>
    <r>
      <t xml:space="preserve">Damit Excel diese Möglichkeiten zur Verfügung stellt, ist es zwingend erforderlich das Kontrollkästchen </t>
    </r>
    <r>
      <rPr>
        <i/>
        <sz val="8"/>
        <color indexed="62"/>
        <rFont val="Calibri"/>
        <family val="2"/>
      </rPr>
      <t>Auslandsreise mit wechselndem</t>
    </r>
  </si>
  <si>
    <t>Das Tool ermöglicht bis zu vier Angaben pro Position. Die Addition der einzelnen Werte erfolgt automatisch.</t>
  </si>
  <si>
    <t>Für den Fall, dass Sie ein eigenes Fahrzeug benutzt haben, greifen die Kilometerpauschalen. Auch hier haben Sie die Möglichkeit, vier</t>
  </si>
  <si>
    <r>
      <t xml:space="preserve">Damit eine korrekte Abrechnung möglich ist, ist es zwingend erforderlich das Kontrollkästchen </t>
    </r>
    <r>
      <rPr>
        <i/>
        <sz val="8"/>
        <color indexed="62"/>
        <rFont val="Calibri"/>
        <family val="2"/>
      </rPr>
      <t>Auslandsreise mit wechselndem</t>
    </r>
  </si>
  <si>
    <r>
      <rPr>
        <i/>
        <sz val="8"/>
        <color indexed="62"/>
        <rFont val="Calibri"/>
        <family val="2"/>
      </rPr>
      <t>Einsatzort und/oder mehrtägiger Anreise</t>
    </r>
    <r>
      <rPr>
        <sz val="8"/>
        <color indexed="62"/>
        <rFont val="Calibri"/>
        <family val="2"/>
      </rPr>
      <t xml:space="preserve"> in de</t>
    </r>
    <r>
      <rPr>
        <i/>
        <sz val="8"/>
        <color indexed="62"/>
        <rFont val="Calibri"/>
        <family val="2"/>
      </rPr>
      <t xml:space="preserve">r </t>
    </r>
    <r>
      <rPr>
        <sz val="8"/>
        <color indexed="62"/>
        <rFont val="Calibri"/>
        <family val="2"/>
      </rPr>
      <t>Tabelle</t>
    </r>
    <r>
      <rPr>
        <i/>
        <sz val="8"/>
        <color indexed="62"/>
        <rFont val="Calibri"/>
        <family val="2"/>
      </rPr>
      <t xml:space="preserve"> Reisedaten </t>
    </r>
    <r>
      <rPr>
        <sz val="8"/>
        <color indexed="62"/>
        <rFont val="Calibri"/>
        <family val="2"/>
      </rPr>
      <t>korrekt einzustellen. Haken Sie  - wie bereits erwähnt - das</t>
    </r>
  </si>
  <si>
    <t>Abrechnung Verplegungspauschale</t>
  </si>
  <si>
    <t>Freiburg</t>
  </si>
  <si>
    <t>Dienstbesprechung</t>
  </si>
  <si>
    <r>
      <t>§</t>
    </r>
    <r>
      <rPr>
        <sz val="8"/>
        <rFont val="Times New Roman"/>
        <family val="1"/>
      </rPr>
      <t xml:space="preserve">  </t>
    </r>
    <r>
      <rPr>
        <sz val="8"/>
        <rFont val="Calibri"/>
        <family val="2"/>
      </rPr>
      <t xml:space="preserve">Auslandspauschalen </t>
    </r>
    <r>
      <rPr>
        <sz val="8"/>
        <rFont val="Calibri"/>
        <family val="2"/>
      </rPr>
      <t xml:space="preserve"> (ausgeblendet, kann bei Bedarf aufgerufen werden)</t>
    </r>
  </si>
  <si>
    <t>Australien / Canberra</t>
  </si>
  <si>
    <t>Australien /  Sydney</t>
  </si>
  <si>
    <t>Australien / im Übrigen</t>
  </si>
  <si>
    <t>Brasilien / Brasilia</t>
  </si>
  <si>
    <t>Brasilien / Rio de Janeiro</t>
  </si>
  <si>
    <t>Brasilien / Sao Paulo</t>
  </si>
  <si>
    <t>Brasilien / im Übrigen</t>
  </si>
  <si>
    <t>China / Chengdu</t>
  </si>
  <si>
    <t>China / Hongkong</t>
  </si>
  <si>
    <t>China / Kanton</t>
  </si>
  <si>
    <t>China /  Peking</t>
  </si>
  <si>
    <t>China /  Shanghai</t>
  </si>
  <si>
    <t>China /  im Übrigen</t>
  </si>
  <si>
    <t>Frankreich / Lyon</t>
  </si>
  <si>
    <t>Frankreich / Marseille</t>
  </si>
  <si>
    <t>Frankreich / Paris</t>
  </si>
  <si>
    <t>Frankreich / Departments 92, 93, 94</t>
  </si>
  <si>
    <t>Frankreich /  Straßburg</t>
  </si>
  <si>
    <t>Frankreich /  im Übrigen</t>
  </si>
  <si>
    <t>Griechenland / Athen</t>
  </si>
  <si>
    <t>Griechenland / im Übrigen</t>
  </si>
  <si>
    <t>Indien / Chennai</t>
  </si>
  <si>
    <t>Indien / Kalkutta</t>
  </si>
  <si>
    <t>Indien / Mumbai</t>
  </si>
  <si>
    <t>Indien / Neu Delhi</t>
  </si>
  <si>
    <t>Indien /   im Übrigen</t>
  </si>
  <si>
    <t>Italien / Mailand</t>
  </si>
  <si>
    <t>Italien / Rom</t>
  </si>
  <si>
    <t>Italien /  im Übrigen</t>
  </si>
  <si>
    <t>Japan / Tokio</t>
  </si>
  <si>
    <t>Japan /  im Übrigen</t>
  </si>
  <si>
    <t>Kanada / Ottawa</t>
  </si>
  <si>
    <t>Kanada / Toronto</t>
  </si>
  <si>
    <t>Kanada /  Vancouver</t>
  </si>
  <si>
    <t>Kanada /  im Übrigen</t>
  </si>
  <si>
    <t>Marshall Inseln</t>
  </si>
  <si>
    <t>Pakistan / Islamabad</t>
  </si>
  <si>
    <t>Pakistan / im Übrigen</t>
  </si>
  <si>
    <t>Polen / Breslau</t>
  </si>
  <si>
    <t>Polen / Danzig</t>
  </si>
  <si>
    <t>Polen / Krakau</t>
  </si>
  <si>
    <t>Polen /  Warschau</t>
  </si>
  <si>
    <t>Polen /   im Übrigen</t>
  </si>
  <si>
    <t>Saudi Arabien / Djidda</t>
  </si>
  <si>
    <t>Saudi Arabien / Riad</t>
  </si>
  <si>
    <t>Saudi Arabien / im Übrigen</t>
  </si>
  <si>
    <t>Schweiz / Genf</t>
  </si>
  <si>
    <t>Schweiz / im Übrigen</t>
  </si>
  <si>
    <t>Spanien / Barcelona</t>
  </si>
  <si>
    <t>Spanien / Kanarische Inseln</t>
  </si>
  <si>
    <t>Spanien / Madrid</t>
  </si>
  <si>
    <t>Spanien / Palma de Mallorca</t>
  </si>
  <si>
    <t>Spanien /  im Übrigen</t>
  </si>
  <si>
    <t>Südafrika / Kapstadt</t>
  </si>
  <si>
    <t>Südafrika / Johannisburg</t>
  </si>
  <si>
    <t>Südafrika / im Übrigen</t>
  </si>
  <si>
    <t>Türkei / Istanbul</t>
  </si>
  <si>
    <t>Türkei / Izmir</t>
  </si>
  <si>
    <t>Türkei / im Übrigen</t>
  </si>
  <si>
    <t>USA/Washington, D. C.</t>
  </si>
  <si>
    <t>USA/ im Übrigen</t>
  </si>
  <si>
    <t>Hamburg - Freiburg - Hamburg</t>
  </si>
  <si>
    <t>Russ. Föderation/Jekatarinenburg</t>
  </si>
  <si>
    <t>Russ. Föderation/Moskau</t>
  </si>
  <si>
    <t>Russ. Föderation/St. Petersburg</t>
  </si>
  <si>
    <t>Russ. Föderation/im Übrigen</t>
  </si>
  <si>
    <t>Reisekostenabrechnung 2018</t>
  </si>
  <si>
    <t xml:space="preserve">Das Tool ermöglicht zahlreiche Sonderfälle, sodass Sie es in der Regel problemlos in der Praxis einsetzen können. Allerdings ist das deutsche </t>
  </si>
  <si>
    <t>können.</t>
  </si>
  <si>
    <t>Reisekostenrecht sehr komplex. Es kann daher in Ausnahmefällen vorkommen, dass Reisen mit Hilfe des Tools nicht abgerechnet werden</t>
  </si>
  <si>
    <t>für Österreich geltende Verpflegungspauschale für eine Abwesenheitsdauer von mind. 24 Stunden anzusetzen. Dies betrifft also nur solche Flüge, die 3</t>
  </si>
  <si>
    <t>Kalendertage berühren.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</si>
</sst>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\€"/>
    <numFmt numFmtId="165" formatCode="hh:mm\ &quot;Uhr&quot;"/>
    <numFmt numFmtId="166" formatCode="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0.000"/>
    <numFmt numFmtId="173" formatCode="0.0000"/>
    <numFmt numFmtId="174" formatCode="0.0"/>
    <numFmt numFmtId="175" formatCode="[hh]:mm"/>
    <numFmt numFmtId="176" formatCode="0.00000"/>
    <numFmt numFmtId="177" formatCode="0.000000"/>
    <numFmt numFmtId="178" formatCode="h:mm;@"/>
    <numFmt numFmtId="179" formatCode="#,##0\ &quot;€&quot;"/>
  </numFmts>
  <fonts count="1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sz val="6"/>
      <name val="Arial"/>
      <family val="2"/>
    </font>
    <font>
      <b/>
      <sz val="8"/>
      <name val="Calibri"/>
      <family val="2"/>
    </font>
    <font>
      <sz val="8"/>
      <name val="Wingdings"/>
      <family val="0"/>
    </font>
    <font>
      <sz val="8"/>
      <name val="Times New Roman"/>
      <family val="1"/>
    </font>
    <font>
      <i/>
      <sz val="8"/>
      <name val="Calibri"/>
      <family val="2"/>
    </font>
    <font>
      <u val="single"/>
      <sz val="10"/>
      <name val="Calibri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sz val="12"/>
      <name val="Arial"/>
      <family val="2"/>
    </font>
    <font>
      <b/>
      <sz val="9"/>
      <name val="Arial"/>
      <family val="2"/>
    </font>
    <font>
      <i/>
      <sz val="8"/>
      <color indexed="62"/>
      <name val="Calibri"/>
      <family val="2"/>
    </font>
    <font>
      <sz val="8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10"/>
      <color indexed="55"/>
      <name val="Arial"/>
      <family val="2"/>
    </font>
    <font>
      <sz val="9"/>
      <color indexed="55"/>
      <name val="Arial"/>
      <family val="2"/>
    </font>
    <font>
      <sz val="8"/>
      <color indexed="9"/>
      <name val="Arial"/>
      <family val="2"/>
    </font>
    <font>
      <sz val="10"/>
      <color indexed="23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55"/>
      <name val="Calibri"/>
      <family val="2"/>
    </font>
    <font>
      <b/>
      <sz val="10"/>
      <name val="Calibri"/>
      <family val="2"/>
    </font>
    <font>
      <sz val="8"/>
      <color indexed="10"/>
      <name val="Calibri"/>
      <family val="2"/>
    </font>
    <font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55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4"/>
      <color indexed="55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6"/>
      <color indexed="9"/>
      <name val="Arial"/>
      <family val="2"/>
    </font>
    <font>
      <sz val="10"/>
      <color indexed="22"/>
      <name val="Calibri"/>
      <family val="2"/>
    </font>
    <font>
      <sz val="11"/>
      <color indexed="9"/>
      <name val="Arial"/>
      <family val="2"/>
    </font>
    <font>
      <b/>
      <sz val="10"/>
      <color indexed="62"/>
      <name val="Arial"/>
      <family val="2"/>
    </font>
    <font>
      <b/>
      <sz val="8"/>
      <color indexed="18"/>
      <name val="Calibri"/>
      <family val="2"/>
    </font>
    <font>
      <sz val="11"/>
      <color indexed="10"/>
      <name val="Arial"/>
      <family val="2"/>
    </font>
    <font>
      <sz val="8"/>
      <color indexed="56"/>
      <name val="Calibri"/>
      <family val="2"/>
    </font>
    <font>
      <sz val="10.5"/>
      <color indexed="63"/>
      <name val="Tahoma"/>
      <family val="2"/>
    </font>
    <font>
      <sz val="11"/>
      <color indexed="56"/>
      <name val="Calibri"/>
      <family val="2"/>
    </font>
    <font>
      <sz val="8"/>
      <name val="Segoe UI"/>
      <family val="2"/>
    </font>
    <font>
      <sz val="8"/>
      <color indexed="2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b/>
      <sz val="10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8"/>
      <color theme="0"/>
      <name val="Arial"/>
      <family val="2"/>
    </font>
    <font>
      <sz val="10"/>
      <color theme="0" tint="-0.499969989061355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0" tint="-0.3499799966812134"/>
      <name val="Calibri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0" tint="-0.3499799966812134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4"/>
      <color theme="0" tint="-0.3499799966812134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6"/>
      <color theme="0"/>
      <name val="Arial"/>
      <family val="2"/>
    </font>
    <font>
      <sz val="10"/>
      <color theme="0" tint="-0.1499900072813034"/>
      <name val="Calibri"/>
      <family val="2"/>
    </font>
    <font>
      <sz val="11"/>
      <color theme="0"/>
      <name val="Arial"/>
      <family val="2"/>
    </font>
    <font>
      <b/>
      <sz val="10"/>
      <color theme="4" tint="-0.24997000396251678"/>
      <name val="Arial"/>
      <family val="2"/>
    </font>
    <font>
      <sz val="8"/>
      <color theme="4" tint="-0.24997000396251678"/>
      <name val="Calibri"/>
      <family val="2"/>
    </font>
    <font>
      <b/>
      <sz val="8"/>
      <color theme="3" tint="-0.24997000396251678"/>
      <name val="Calibri"/>
      <family val="2"/>
    </font>
    <font>
      <sz val="8"/>
      <color theme="3" tint="0.39998000860214233"/>
      <name val="Calibri"/>
      <family val="2"/>
    </font>
    <font>
      <sz val="11"/>
      <color rgb="FFFF0000"/>
      <name val="Arial"/>
      <family val="2"/>
    </font>
    <font>
      <sz val="8"/>
      <color rgb="FF333333"/>
      <name val="Tahoma"/>
      <family val="2"/>
    </font>
    <font>
      <sz val="8"/>
      <color rgb="FF1F497D"/>
      <name val="Calibri"/>
      <family val="2"/>
    </font>
    <font>
      <sz val="10.5"/>
      <color rgb="FF333333"/>
      <name val="Tahoma"/>
      <family val="2"/>
    </font>
    <font>
      <sz val="11"/>
      <color rgb="FF1F497D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>
        <color indexed="63"/>
      </left>
      <right>
        <color indexed="63"/>
      </right>
      <top/>
      <bottom style="hair"/>
    </border>
    <border>
      <left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1" applyNumberFormat="0" applyAlignment="0" applyProtection="0"/>
    <xf numFmtId="0" fontId="81" fillId="25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2" fillId="26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7" borderId="0" applyNumberFormat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87" fillId="30" borderId="0" applyNumberFormat="0" applyBorder="0" applyAlignment="0" applyProtection="0"/>
    <xf numFmtId="0" fontId="12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1" borderId="9" applyNumberFormat="0" applyAlignment="0" applyProtection="0"/>
  </cellStyleXfs>
  <cellXfs count="6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2" fontId="2" fillId="0" borderId="0" xfId="0" applyNumberFormat="1" applyFont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5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1" fontId="95" fillId="0" borderId="0" xfId="0" applyNumberFormat="1" applyFont="1" applyAlignment="1">
      <alignment vertical="center"/>
    </xf>
    <xf numFmtId="20" fontId="95" fillId="0" borderId="0" xfId="0" applyNumberFormat="1" applyFont="1" applyAlignment="1">
      <alignment vertical="center"/>
    </xf>
    <xf numFmtId="46" fontId="95" fillId="0" borderId="0" xfId="0" applyNumberFormat="1" applyFont="1" applyAlignment="1">
      <alignment vertical="center"/>
    </xf>
    <xf numFmtId="0" fontId="96" fillId="0" borderId="11" xfId="0" applyFont="1" applyBorder="1" applyAlignment="1">
      <alignment horizontal="center" vertical="center" wrapText="1"/>
    </xf>
    <xf numFmtId="0" fontId="95" fillId="0" borderId="0" xfId="0" applyFont="1" applyBorder="1" applyAlignment="1">
      <alignment vertical="center" wrapText="1"/>
    </xf>
    <xf numFmtId="0" fontId="97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44" fontId="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0" applyNumberFormat="1" applyAlignment="1">
      <alignment vertical="center"/>
    </xf>
    <xf numFmtId="0" fontId="98" fillId="3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95" fillId="0" borderId="0" xfId="0" applyFont="1" applyAlignment="1">
      <alignment/>
    </xf>
    <xf numFmtId="0" fontId="95" fillId="32" borderId="0" xfId="0" applyFont="1" applyFill="1" applyAlignment="1">
      <alignment vertical="center"/>
    </xf>
    <xf numFmtId="46" fontId="98" fillId="32" borderId="0" xfId="0" applyNumberFormat="1" applyFont="1" applyFill="1" applyAlignment="1">
      <alignment vertical="center"/>
    </xf>
    <xf numFmtId="0" fontId="95" fillId="0" borderId="0" xfId="0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98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32" borderId="10" xfId="0" applyFont="1" applyFill="1" applyBorder="1" applyAlignment="1" applyProtection="1">
      <alignment horizontal="left" vertical="center" wrapText="1"/>
      <protection/>
    </xf>
    <xf numFmtId="0" fontId="0" fillId="32" borderId="12" xfId="0" applyFont="1" applyFill="1" applyBorder="1" applyAlignment="1" applyProtection="1">
      <alignment horizontal="center" vertical="center" wrapText="1"/>
      <protection/>
    </xf>
    <xf numFmtId="0" fontId="0" fillId="32" borderId="13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2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20" fontId="0" fillId="32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5" fontId="99" fillId="0" borderId="11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vertical="center" wrapText="1"/>
    </xf>
    <xf numFmtId="0" fontId="98" fillId="0" borderId="0" xfId="0" applyFont="1" applyAlignment="1">
      <alignment vertical="center"/>
    </xf>
    <xf numFmtId="175" fontId="10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10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5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03" fillId="0" borderId="0" xfId="0" applyFont="1" applyAlignment="1">
      <alignment vertical="center"/>
    </xf>
    <xf numFmtId="0" fontId="11" fillId="32" borderId="0" xfId="0" applyFont="1" applyFill="1" applyBorder="1" applyAlignment="1" applyProtection="1">
      <alignment horizontal="left" vertical="center" wrapText="1"/>
      <protection locked="0"/>
    </xf>
    <xf numFmtId="0" fontId="51" fillId="32" borderId="0" xfId="0" applyFont="1" applyFill="1" applyBorder="1" applyAlignment="1" applyProtection="1">
      <alignment horizontal="left" vertical="center" wrapText="1"/>
      <protection locked="0"/>
    </xf>
    <xf numFmtId="14" fontId="51" fillId="32" borderId="0" xfId="0" applyNumberFormat="1" applyFont="1" applyFill="1" applyBorder="1" applyAlignment="1" applyProtection="1">
      <alignment horizontal="left" vertical="center" wrapText="1"/>
      <protection locked="0"/>
    </xf>
    <xf numFmtId="20" fontId="51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55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44" fontId="5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4" fontId="51" fillId="33" borderId="0" xfId="61" applyFont="1" applyFill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44" fontId="51" fillId="0" borderId="0" xfId="61" applyFont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2" fontId="55" fillId="0" borderId="0" xfId="0" applyNumberFormat="1" applyFont="1" applyBorder="1" applyAlignment="1">
      <alignment horizontal="center" vertical="center"/>
    </xf>
    <xf numFmtId="0" fontId="51" fillId="32" borderId="0" xfId="0" applyFont="1" applyFill="1" applyBorder="1" applyAlignment="1">
      <alignment vertical="center"/>
    </xf>
    <xf numFmtId="0" fontId="51" fillId="32" borderId="0" xfId="0" applyFont="1" applyFill="1" applyBorder="1" applyAlignment="1" applyProtection="1">
      <alignment horizontal="center" vertical="center"/>
      <protection locked="0"/>
    </xf>
    <xf numFmtId="0" fontId="51" fillId="32" borderId="0" xfId="0" applyNumberFormat="1" applyFont="1" applyFill="1" applyBorder="1" applyAlignment="1">
      <alignment vertical="center"/>
    </xf>
    <xf numFmtId="164" fontId="51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20" fontId="51" fillId="0" borderId="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44" fontId="51" fillId="0" borderId="0" xfId="61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center" vertical="center" wrapText="1"/>
    </xf>
    <xf numFmtId="175" fontId="51" fillId="0" borderId="0" xfId="0" applyNumberFormat="1" applyFont="1" applyBorder="1" applyAlignment="1">
      <alignment horizontal="left" vertical="center" wrapText="1"/>
    </xf>
    <xf numFmtId="2" fontId="104" fillId="32" borderId="0" xfId="0" applyNumberFormat="1" applyFont="1" applyFill="1" applyBorder="1" applyAlignment="1">
      <alignment vertical="center"/>
    </xf>
    <xf numFmtId="0" fontId="105" fillId="32" borderId="0" xfId="0" applyFont="1" applyFill="1" applyBorder="1" applyAlignment="1">
      <alignment horizontal="center" vertical="center" wrapText="1"/>
    </xf>
    <xf numFmtId="164" fontId="51" fillId="0" borderId="0" xfId="0" applyNumberFormat="1" applyFont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4" fontId="55" fillId="33" borderId="0" xfId="6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4" fontId="51" fillId="32" borderId="0" xfId="0" applyNumberFormat="1" applyFont="1" applyFill="1" applyAlignment="1" applyProtection="1">
      <alignment horizontal="left" vertical="center"/>
      <protection locked="0"/>
    </xf>
    <xf numFmtId="0" fontId="51" fillId="32" borderId="0" xfId="0" applyFont="1" applyFill="1" applyAlignment="1">
      <alignment vertical="center"/>
    </xf>
    <xf numFmtId="0" fontId="51" fillId="32" borderId="10" xfId="0" applyFont="1" applyFill="1" applyBorder="1" applyAlignment="1" applyProtection="1">
      <alignment horizontal="left" vertical="center"/>
      <protection/>
    </xf>
    <xf numFmtId="0" fontId="11" fillId="32" borderId="0" xfId="0" applyFont="1" applyFill="1" applyAlignment="1">
      <alignment vertical="center"/>
    </xf>
    <xf numFmtId="0" fontId="17" fillId="32" borderId="13" xfId="0" applyFont="1" applyFill="1" applyBorder="1" applyAlignment="1">
      <alignment vertical="center"/>
    </xf>
    <xf numFmtId="0" fontId="11" fillId="32" borderId="0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1" fillId="32" borderId="13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>
      <alignment vertical="center"/>
    </xf>
    <xf numFmtId="0" fontId="106" fillId="0" borderId="13" xfId="0" applyFont="1" applyBorder="1" applyAlignment="1">
      <alignment wrapText="1"/>
    </xf>
    <xf numFmtId="0" fontId="51" fillId="32" borderId="13" xfId="0" applyFont="1" applyFill="1" applyBorder="1" applyAlignment="1" applyProtection="1">
      <alignment horizontal="left" wrapText="1"/>
      <protection locked="0"/>
    </xf>
    <xf numFmtId="0" fontId="11" fillId="0" borderId="13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14" fontId="51" fillId="32" borderId="10" xfId="0" applyNumberFormat="1" applyFont="1" applyFill="1" applyBorder="1" applyAlignment="1" applyProtection="1">
      <alignment horizontal="left" vertical="center" wrapText="1"/>
      <protection locked="0"/>
    </xf>
    <xf numFmtId="20" fontId="51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32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center"/>
    </xf>
    <xf numFmtId="0" fontId="55" fillId="0" borderId="13" xfId="0" applyFont="1" applyBorder="1" applyAlignment="1">
      <alignment vertical="center" wrapText="1"/>
    </xf>
    <xf numFmtId="20" fontId="51" fillId="32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44" fontId="51" fillId="0" borderId="13" xfId="0" applyNumberFormat="1" applyFont="1" applyBorder="1" applyAlignment="1">
      <alignment vertical="center"/>
    </xf>
    <xf numFmtId="44" fontId="51" fillId="0" borderId="13" xfId="61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44" fontId="55" fillId="34" borderId="11" xfId="61" applyFont="1" applyFill="1" applyBorder="1" applyAlignment="1" applyProtection="1">
      <alignment vertical="center" wrapText="1"/>
      <protection locked="0"/>
    </xf>
    <xf numFmtId="44" fontId="55" fillId="34" borderId="11" xfId="61" applyFont="1" applyFill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5" fillId="0" borderId="0" xfId="0" applyFont="1" applyBorder="1" applyAlignment="1" applyProtection="1">
      <alignment horizontal="right" vertical="center"/>
      <protection/>
    </xf>
    <xf numFmtId="0" fontId="55" fillId="0" borderId="0" xfId="0" applyFont="1" applyAlignment="1" applyProtection="1">
      <alignment horizontal="left" vertical="center"/>
      <protection/>
    </xf>
    <xf numFmtId="0" fontId="51" fillId="0" borderId="0" xfId="0" applyFont="1" applyAlignment="1" applyProtection="1">
      <alignment vertical="center"/>
      <protection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3" xfId="0" applyFont="1" applyBorder="1" applyAlignment="1">
      <alignment horizontal="right" vertical="center"/>
    </xf>
    <xf numFmtId="0" fontId="55" fillId="0" borderId="16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44" fontId="51" fillId="0" borderId="16" xfId="0" applyNumberFormat="1" applyFont="1" applyBorder="1" applyAlignment="1">
      <alignment vertical="center"/>
    </xf>
    <xf numFmtId="44" fontId="51" fillId="0" borderId="17" xfId="0" applyNumberFormat="1" applyFont="1" applyBorder="1" applyAlignment="1">
      <alignment vertical="center"/>
    </xf>
    <xf numFmtId="0" fontId="55" fillId="0" borderId="16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44" fontId="51" fillId="32" borderId="0" xfId="61" applyFont="1" applyFill="1" applyBorder="1" applyAlignment="1">
      <alignment horizontal="left"/>
    </xf>
    <xf numFmtId="164" fontId="51" fillId="0" borderId="16" xfId="0" applyNumberFormat="1" applyFont="1" applyBorder="1" applyAlignment="1">
      <alignment horizontal="center" vertical="center"/>
    </xf>
    <xf numFmtId="164" fontId="51" fillId="0" borderId="17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0" fontId="51" fillId="33" borderId="11" xfId="0" applyNumberFormat="1" applyFont="1" applyFill="1" applyBorder="1" applyAlignment="1" applyProtection="1">
      <alignment vertical="center"/>
      <protection locked="0"/>
    </xf>
    <xf numFmtId="164" fontId="51" fillId="0" borderId="16" xfId="0" applyNumberFormat="1" applyFont="1" applyBorder="1" applyAlignment="1">
      <alignment horizontal="right" vertical="center"/>
    </xf>
    <xf numFmtId="164" fontId="51" fillId="0" borderId="0" xfId="0" applyNumberFormat="1" applyFont="1" applyBorder="1" applyAlignment="1">
      <alignment horizontal="right" vertical="center"/>
    </xf>
    <xf numFmtId="164" fontId="51" fillId="0" borderId="17" xfId="0" applyNumberFormat="1" applyFont="1" applyBorder="1" applyAlignment="1">
      <alignment horizontal="right" vertical="center"/>
    </xf>
    <xf numFmtId="0" fontId="11" fillId="33" borderId="11" xfId="0" applyFont="1" applyFill="1" applyBorder="1" applyAlignment="1" applyProtection="1">
      <alignment vertical="center"/>
      <protection locked="0"/>
    </xf>
    <xf numFmtId="0" fontId="51" fillId="32" borderId="16" xfId="0" applyFont="1" applyFill="1" applyBorder="1" applyAlignment="1">
      <alignment vertical="center"/>
    </xf>
    <xf numFmtId="4" fontId="51" fillId="32" borderId="0" xfId="0" applyNumberFormat="1" applyFont="1" applyFill="1" applyBorder="1" applyAlignment="1">
      <alignment vertical="center"/>
    </xf>
    <xf numFmtId="2" fontId="51" fillId="32" borderId="0" xfId="0" applyNumberFormat="1" applyFont="1" applyFill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44" fontId="55" fillId="0" borderId="19" xfId="0" applyNumberFormat="1" applyFont="1" applyBorder="1" applyAlignment="1">
      <alignment vertical="center"/>
    </xf>
    <xf numFmtId="44" fontId="55" fillId="0" borderId="0" xfId="0" applyNumberFormat="1" applyFont="1" applyBorder="1" applyAlignment="1">
      <alignment vertical="center"/>
    </xf>
    <xf numFmtId="44" fontId="55" fillId="0" borderId="16" xfId="0" applyNumberFormat="1" applyFont="1" applyBorder="1" applyAlignment="1">
      <alignment vertical="center"/>
    </xf>
    <xf numFmtId="44" fontId="55" fillId="0" borderId="17" xfId="0" applyNumberFormat="1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44" fontId="55" fillId="0" borderId="21" xfId="0" applyNumberFormat="1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44" fontId="55" fillId="0" borderId="20" xfId="0" applyNumberFormat="1" applyFont="1" applyBorder="1" applyAlignment="1">
      <alignment vertical="center"/>
    </xf>
    <xf numFmtId="44" fontId="55" fillId="0" borderId="22" xfId="0" applyNumberFormat="1" applyFont="1" applyBorder="1" applyAlignment="1">
      <alignment vertical="center"/>
    </xf>
    <xf numFmtId="0" fontId="55" fillId="0" borderId="14" xfId="0" applyFont="1" applyBorder="1" applyAlignment="1">
      <alignment vertical="center" wrapText="1"/>
    </xf>
    <xf numFmtId="0" fontId="53" fillId="0" borderId="23" xfId="0" applyFont="1" applyBorder="1" applyAlignment="1">
      <alignment horizontal="left" vertical="center"/>
    </xf>
    <xf numFmtId="44" fontId="51" fillId="32" borderId="0" xfId="61" applyFont="1" applyFill="1" applyBorder="1" applyAlignment="1">
      <alignment horizontal="center" vertical="center"/>
    </xf>
    <xf numFmtId="164" fontId="51" fillId="0" borderId="24" xfId="0" applyNumberFormat="1" applyFont="1" applyBorder="1" applyAlignment="1" applyProtection="1">
      <alignment vertical="center"/>
      <protection/>
    </xf>
    <xf numFmtId="44" fontId="51" fillId="33" borderId="11" xfId="61" applyFont="1" applyFill="1" applyBorder="1" applyAlignment="1" applyProtection="1">
      <alignment vertical="center"/>
      <protection locked="0"/>
    </xf>
    <xf numFmtId="44" fontId="51" fillId="0" borderId="24" xfId="0" applyNumberFormat="1" applyFont="1" applyBorder="1" applyAlignment="1" applyProtection="1">
      <alignment vertical="center"/>
      <protection/>
    </xf>
    <xf numFmtId="0" fontId="51" fillId="0" borderId="16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164" fontId="51" fillId="32" borderId="0" xfId="0" applyNumberFormat="1" applyFont="1" applyFill="1" applyBorder="1" applyAlignment="1" applyProtection="1">
      <alignment vertical="center"/>
      <protection/>
    </xf>
    <xf numFmtId="0" fontId="55" fillId="0" borderId="16" xfId="0" applyFont="1" applyBorder="1" applyAlignment="1" applyProtection="1">
      <alignment vertical="center"/>
      <protection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left" vertical="center" wrapText="1"/>
      <protection/>
    </xf>
    <xf numFmtId="175" fontId="107" fillId="32" borderId="0" xfId="0" applyNumberFormat="1" applyFont="1" applyFill="1" applyBorder="1" applyAlignment="1" applyProtection="1">
      <alignment horizontal="left" vertical="center" wrapText="1"/>
      <protection/>
    </xf>
    <xf numFmtId="0" fontId="105" fillId="32" borderId="0" xfId="0" applyFont="1" applyFill="1" applyBorder="1" applyAlignment="1" applyProtection="1">
      <alignment horizontal="center" vertical="center" wrapText="1"/>
      <protection/>
    </xf>
    <xf numFmtId="0" fontId="107" fillId="32" borderId="0" xfId="0" applyFont="1" applyFill="1" applyBorder="1" applyAlignment="1" applyProtection="1">
      <alignment horizontal="center" vertical="center" wrapText="1"/>
      <protection/>
    </xf>
    <xf numFmtId="0" fontId="108" fillId="32" borderId="0" xfId="0" applyFont="1" applyFill="1" applyBorder="1" applyAlignment="1" applyProtection="1">
      <alignment horizontal="center" vertical="center" wrapText="1"/>
      <protection/>
    </xf>
    <xf numFmtId="0" fontId="104" fillId="32" borderId="0" xfId="0" applyFont="1" applyFill="1" applyAlignment="1">
      <alignment vertical="center"/>
    </xf>
    <xf numFmtId="20" fontId="107" fillId="32" borderId="0" xfId="0" applyNumberFormat="1" applyFont="1" applyFill="1" applyBorder="1" applyAlignment="1" applyProtection="1">
      <alignment horizontal="left" vertical="center" wrapText="1"/>
      <protection/>
    </xf>
    <xf numFmtId="2" fontId="107" fillId="32" borderId="0" xfId="0" applyNumberFormat="1" applyFont="1" applyFill="1" applyBorder="1" applyAlignment="1" applyProtection="1">
      <alignment horizontal="left" vertical="center" wrapText="1"/>
      <protection/>
    </xf>
    <xf numFmtId="44" fontId="107" fillId="32" borderId="0" xfId="61" applyFont="1" applyFill="1" applyBorder="1" applyAlignment="1" applyProtection="1">
      <alignment horizontal="center" vertical="center" wrapText="1"/>
      <protection/>
    </xf>
    <xf numFmtId="0" fontId="109" fillId="0" borderId="0" xfId="0" applyFont="1" applyBorder="1" applyAlignment="1" applyProtection="1">
      <alignment horizontal="center" vertical="center" wrapText="1"/>
      <protection/>
    </xf>
    <xf numFmtId="164" fontId="108" fillId="0" borderId="24" xfId="0" applyNumberFormat="1" applyFont="1" applyBorder="1" applyAlignment="1" applyProtection="1">
      <alignment vertical="center"/>
      <protection/>
    </xf>
    <xf numFmtId="175" fontId="51" fillId="32" borderId="0" xfId="0" applyNumberFormat="1" applyFont="1" applyFill="1" applyBorder="1" applyAlignment="1" applyProtection="1">
      <alignment horizontal="left" vertical="center" wrapText="1"/>
      <protection/>
    </xf>
    <xf numFmtId="2" fontId="104" fillId="32" borderId="0" xfId="0" applyNumberFormat="1" applyFont="1" applyFill="1" applyBorder="1" applyAlignment="1" applyProtection="1">
      <alignment vertical="center"/>
      <protection/>
    </xf>
    <xf numFmtId="0" fontId="109" fillId="32" borderId="0" xfId="0" applyFont="1" applyFill="1" applyBorder="1" applyAlignment="1" applyProtection="1">
      <alignment horizontal="center" vertical="center" wrapText="1"/>
      <protection/>
    </xf>
    <xf numFmtId="164" fontId="51" fillId="32" borderId="24" xfId="0" applyNumberFormat="1" applyFont="1" applyFill="1" applyBorder="1" applyAlignment="1" applyProtection="1">
      <alignment vertical="center"/>
      <protection/>
    </xf>
    <xf numFmtId="20" fontId="103" fillId="32" borderId="0" xfId="0" applyNumberFormat="1" applyFont="1" applyFill="1" applyAlignment="1">
      <alignment vertical="center"/>
    </xf>
    <xf numFmtId="0" fontId="109" fillId="0" borderId="0" xfId="0" applyFont="1" applyBorder="1" applyAlignment="1" applyProtection="1">
      <alignment horizontal="left" vertical="center" wrapText="1"/>
      <protection/>
    </xf>
    <xf numFmtId="0" fontId="109" fillId="32" borderId="0" xfId="0" applyFont="1" applyFill="1" applyBorder="1" applyAlignment="1" applyProtection="1">
      <alignment horizontal="left" vertical="center" wrapText="1"/>
      <protection/>
    </xf>
    <xf numFmtId="44" fontId="107" fillId="0" borderId="0" xfId="61" applyFont="1" applyBorder="1" applyAlignment="1" applyProtection="1">
      <alignment horizontal="center" vertical="center" wrapText="1"/>
      <protection/>
    </xf>
    <xf numFmtId="1" fontId="51" fillId="0" borderId="0" xfId="0" applyNumberFormat="1" applyFont="1" applyBorder="1" applyAlignment="1" applyProtection="1">
      <alignment horizontal="left" vertical="center" wrapText="1"/>
      <protection/>
    </xf>
    <xf numFmtId="0" fontId="108" fillId="32" borderId="0" xfId="0" applyFont="1" applyFill="1" applyBorder="1" applyAlignment="1" applyProtection="1">
      <alignment horizontal="left" vertical="center" wrapText="1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3" fontId="51" fillId="0" borderId="0" xfId="0" applyNumberFormat="1" applyFont="1" applyFill="1" applyBorder="1" applyAlignment="1" applyProtection="1">
      <alignment horizontal="center" vertical="center"/>
      <protection/>
    </xf>
    <xf numFmtId="0" fontId="107" fillId="32" borderId="0" xfId="0" applyFont="1" applyFill="1" applyBorder="1" applyAlignment="1" applyProtection="1">
      <alignment horizontal="center" vertical="center"/>
      <protection/>
    </xf>
    <xf numFmtId="164" fontId="107" fillId="0" borderId="0" xfId="0" applyNumberFormat="1" applyFont="1" applyBorder="1" applyAlignment="1" applyProtection="1">
      <alignment horizontal="center" vertical="center"/>
      <protection/>
    </xf>
    <xf numFmtId="0" fontId="107" fillId="0" borderId="0" xfId="0" applyFont="1" applyBorder="1" applyAlignment="1" applyProtection="1">
      <alignment vertical="center"/>
      <protection/>
    </xf>
    <xf numFmtId="164" fontId="107" fillId="0" borderId="0" xfId="0" applyNumberFormat="1" applyFont="1" applyBorder="1" applyAlignment="1" applyProtection="1">
      <alignment vertical="center"/>
      <protection/>
    </xf>
    <xf numFmtId="2" fontId="51" fillId="0" borderId="0" xfId="0" applyNumberFormat="1" applyFont="1" applyBorder="1" applyAlignment="1" applyProtection="1">
      <alignment vertical="center"/>
      <protection/>
    </xf>
    <xf numFmtId="2" fontId="51" fillId="0" borderId="0" xfId="0" applyNumberFormat="1" applyFont="1" applyBorder="1" applyAlignment="1" applyProtection="1">
      <alignment horizontal="right" vertical="center"/>
      <protection/>
    </xf>
    <xf numFmtId="2" fontId="51" fillId="0" borderId="0" xfId="0" applyNumberFormat="1" applyFont="1" applyBorder="1" applyAlignment="1">
      <alignment horizontal="right" vertical="center"/>
    </xf>
    <xf numFmtId="0" fontId="51" fillId="0" borderId="25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164" fontId="107" fillId="0" borderId="12" xfId="0" applyNumberFormat="1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23" xfId="0" applyFont="1" applyBorder="1" applyAlignment="1">
      <alignment horizontal="center" vertical="center" wrapText="1"/>
    </xf>
    <xf numFmtId="0" fontId="55" fillId="0" borderId="25" xfId="0" applyFont="1" applyBorder="1" applyAlignment="1">
      <alignment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6" xfId="0" applyFont="1" applyBorder="1" applyAlignment="1">
      <alignment vertical="center" wrapText="1"/>
    </xf>
    <xf numFmtId="14" fontId="51" fillId="33" borderId="26" xfId="0" applyNumberFormat="1" applyFont="1" applyFill="1" applyBorder="1" applyAlignment="1" applyProtection="1">
      <alignment horizontal="left"/>
      <protection locked="0"/>
    </xf>
    <xf numFmtId="0" fontId="51" fillId="33" borderId="26" xfId="0" applyNumberFormat="1" applyFont="1" applyFill="1" applyBorder="1" applyAlignment="1" applyProtection="1">
      <alignment horizontal="center"/>
      <protection locked="0"/>
    </xf>
    <xf numFmtId="44" fontId="51" fillId="33" borderId="26" xfId="61" applyFont="1" applyFill="1" applyBorder="1" applyAlignment="1" applyProtection="1">
      <alignment vertical="center" wrapText="1"/>
      <protection locked="0"/>
    </xf>
    <xf numFmtId="14" fontId="55" fillId="32" borderId="26" xfId="0" applyNumberFormat="1" applyFont="1" applyFill="1" applyBorder="1" applyAlignment="1" applyProtection="1">
      <alignment horizontal="left"/>
      <protection/>
    </xf>
    <xf numFmtId="14" fontId="55" fillId="32" borderId="26" xfId="0" applyNumberFormat="1" applyFont="1" applyFill="1" applyBorder="1" applyAlignment="1" applyProtection="1">
      <alignment horizontal="center"/>
      <protection/>
    </xf>
    <xf numFmtId="44" fontId="55" fillId="32" borderId="26" xfId="61" applyFont="1" applyFill="1" applyBorder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0" fontId="55" fillId="0" borderId="14" xfId="0" applyFont="1" applyBorder="1" applyAlignment="1">
      <alignment horizontal="center" vertical="center" wrapText="1"/>
    </xf>
    <xf numFmtId="0" fontId="52" fillId="0" borderId="0" xfId="0" applyFont="1" applyAlignment="1" applyProtection="1">
      <alignment horizontal="left"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vertical="center" wrapText="1"/>
      <protection/>
    </xf>
    <xf numFmtId="0" fontId="51" fillId="32" borderId="10" xfId="0" applyFont="1" applyFill="1" applyBorder="1" applyAlignment="1" applyProtection="1">
      <alignment horizontal="left" vertical="center" wrapText="1"/>
      <protection/>
    </xf>
    <xf numFmtId="0" fontId="106" fillId="0" borderId="0" xfId="0" applyFont="1" applyBorder="1" applyAlignment="1" applyProtection="1">
      <alignment vertical="center" wrapText="1"/>
      <protection/>
    </xf>
    <xf numFmtId="0" fontId="51" fillId="32" borderId="12" xfId="0" applyFont="1" applyFill="1" applyBorder="1" applyAlignment="1" applyProtection="1">
      <alignment horizontal="center" vertical="center" wrapText="1"/>
      <protection/>
    </xf>
    <xf numFmtId="0" fontId="51" fillId="32" borderId="13" xfId="0" applyFont="1" applyFill="1" applyBorder="1" applyAlignment="1" applyProtection="1">
      <alignment horizontal="center" vertical="center" wrapText="1"/>
      <protection/>
    </xf>
    <xf numFmtId="0" fontId="51" fillId="32" borderId="0" xfId="0" applyFont="1" applyFill="1" applyBorder="1" applyAlignment="1" applyProtection="1">
      <alignment horizontal="left" vertical="center" wrapText="1"/>
      <protection/>
    </xf>
    <xf numFmtId="44" fontId="51" fillId="32" borderId="11" xfId="61" applyFont="1" applyFill="1" applyBorder="1" applyAlignment="1" applyProtection="1">
      <alignment vertical="center" wrapText="1"/>
      <protection/>
    </xf>
    <xf numFmtId="0" fontId="55" fillId="32" borderId="0" xfId="0" applyFont="1" applyFill="1" applyBorder="1" applyAlignment="1" applyProtection="1">
      <alignment vertical="center" wrapText="1"/>
      <protection/>
    </xf>
    <xf numFmtId="44" fontId="51" fillId="32" borderId="18" xfId="61" applyFont="1" applyFill="1" applyBorder="1" applyAlignment="1" applyProtection="1">
      <alignment vertical="center" wrapText="1"/>
      <protection/>
    </xf>
    <xf numFmtId="44" fontId="51" fillId="32" borderId="12" xfId="61" applyFont="1" applyFill="1" applyBorder="1" applyAlignment="1" applyProtection="1">
      <alignment vertical="center" wrapText="1"/>
      <protection/>
    </xf>
    <xf numFmtId="44" fontId="51" fillId="32" borderId="19" xfId="6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44" fontId="51" fillId="32" borderId="0" xfId="61" applyFont="1" applyFill="1" applyBorder="1" applyAlignment="1" applyProtection="1">
      <alignment vertical="center" wrapText="1"/>
      <protection/>
    </xf>
    <xf numFmtId="0" fontId="11" fillId="32" borderId="0" xfId="0" applyFont="1" applyFill="1" applyBorder="1" applyAlignment="1" applyProtection="1">
      <alignment vertical="center"/>
      <protection/>
    </xf>
    <xf numFmtId="0" fontId="110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10" fillId="0" borderId="0" xfId="0" applyFont="1" applyBorder="1" applyAlignment="1">
      <alignment horizontal="left" vertical="center"/>
    </xf>
    <xf numFmtId="0" fontId="111" fillId="0" borderId="0" xfId="0" applyFont="1" applyBorder="1" applyAlignment="1">
      <alignment vertical="center" wrapText="1"/>
    </xf>
    <xf numFmtId="0" fontId="95" fillId="0" borderId="0" xfId="0" applyFont="1" applyAlignment="1" applyProtection="1">
      <alignment vertical="center"/>
      <protection locked="0"/>
    </xf>
    <xf numFmtId="0" fontId="112" fillId="32" borderId="0" xfId="0" applyFont="1" applyFill="1" applyBorder="1" applyAlignment="1" applyProtection="1">
      <alignment vertical="center" wrapText="1"/>
      <protection locked="0"/>
    </xf>
    <xf numFmtId="164" fontId="51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51" fillId="32" borderId="0" xfId="0" applyFont="1" applyFill="1" applyBorder="1" applyAlignment="1" applyProtection="1">
      <alignment horizontal="center" vertical="center"/>
      <protection locked="0"/>
    </xf>
    <xf numFmtId="164" fontId="51" fillId="0" borderId="0" xfId="0" applyNumberFormat="1" applyFont="1" applyBorder="1" applyAlignment="1">
      <alignment horizontal="center" vertical="center"/>
    </xf>
    <xf numFmtId="2" fontId="107" fillId="0" borderId="0" xfId="0" applyNumberFormat="1" applyFont="1" applyBorder="1" applyAlignment="1" applyProtection="1">
      <alignment vertical="center"/>
      <protection/>
    </xf>
    <xf numFmtId="0" fontId="108" fillId="0" borderId="10" xfId="0" applyFont="1" applyBorder="1" applyAlignment="1">
      <alignment vertical="center"/>
    </xf>
    <xf numFmtId="20" fontId="107" fillId="32" borderId="0" xfId="61" applyNumberFormat="1" applyFont="1" applyFill="1" applyBorder="1" applyAlignment="1" applyProtection="1">
      <alignment horizontal="right" vertical="center" wrapText="1"/>
      <protection/>
    </xf>
    <xf numFmtId="164" fontId="107" fillId="0" borderId="0" xfId="0" applyNumberFormat="1" applyFont="1" applyBorder="1" applyAlignment="1">
      <alignment vertical="center"/>
    </xf>
    <xf numFmtId="0" fontId="51" fillId="32" borderId="0" xfId="0" applyFont="1" applyFill="1" applyBorder="1" applyAlignment="1">
      <alignment horizontal="right" vertical="center"/>
    </xf>
    <xf numFmtId="0" fontId="51" fillId="32" borderId="0" xfId="0" applyFont="1" applyFill="1" applyBorder="1" applyAlignment="1">
      <alignment vertical="center" wrapText="1"/>
    </xf>
    <xf numFmtId="44" fontId="55" fillId="33" borderId="0" xfId="6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7" fillId="32" borderId="0" xfId="0" applyFont="1" applyFill="1" applyBorder="1" applyAlignment="1">
      <alignment vertical="center"/>
    </xf>
    <xf numFmtId="0" fontId="55" fillId="0" borderId="0" xfId="0" applyFont="1" applyBorder="1" applyAlignment="1">
      <alignment horizontal="right" vertical="center"/>
    </xf>
    <xf numFmtId="0" fontId="55" fillId="0" borderId="13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3" fillId="0" borderId="13" xfId="0" applyNumberFormat="1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32" borderId="13" xfId="0" applyFont="1" applyFill="1" applyBorder="1" applyAlignment="1" applyProtection="1">
      <alignment horizontal="left" wrapText="1"/>
      <protection locked="0"/>
    </xf>
    <xf numFmtId="44" fontId="2" fillId="0" borderId="0" xfId="61" applyFont="1" applyAlignment="1">
      <alignment vertical="center"/>
    </xf>
    <xf numFmtId="44" fontId="51" fillId="0" borderId="0" xfId="61" applyFont="1" applyBorder="1" applyAlignment="1">
      <alignment vertical="center"/>
    </xf>
    <xf numFmtId="44" fontId="0" fillId="0" borderId="0" xfId="61" applyFont="1" applyAlignment="1">
      <alignment vertical="center"/>
    </xf>
    <xf numFmtId="44" fontId="53" fillId="0" borderId="13" xfId="61" applyFont="1" applyBorder="1" applyAlignment="1">
      <alignment horizontal="left" vertical="center"/>
    </xf>
    <xf numFmtId="44" fontId="55" fillId="33" borderId="0" xfId="61" applyFont="1" applyFill="1" applyBorder="1" applyAlignment="1">
      <alignment vertical="center" wrapText="1"/>
    </xf>
    <xf numFmtId="44" fontId="11" fillId="0" borderId="0" xfId="61" applyFont="1" applyBorder="1" applyAlignment="1">
      <alignment vertical="center"/>
    </xf>
    <xf numFmtId="44" fontId="55" fillId="0" borderId="0" xfId="61" applyFont="1" applyBorder="1" applyAlignment="1">
      <alignment vertical="center"/>
    </xf>
    <xf numFmtId="44" fontId="55" fillId="0" borderId="13" xfId="61" applyFont="1" applyBorder="1" applyAlignment="1">
      <alignment vertical="center"/>
    </xf>
    <xf numFmtId="44" fontId="11" fillId="0" borderId="13" xfId="61" applyFont="1" applyBorder="1" applyAlignment="1">
      <alignment vertical="center"/>
    </xf>
    <xf numFmtId="1" fontId="51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Border="1" applyAlignment="1">
      <alignment horizontal="center" vertical="center"/>
    </xf>
    <xf numFmtId="44" fontId="51" fillId="0" borderId="10" xfId="0" applyNumberFormat="1" applyFont="1" applyBorder="1" applyAlignment="1">
      <alignment vertical="center"/>
    </xf>
    <xf numFmtId="0" fontId="51" fillId="0" borderId="10" xfId="0" applyFont="1" applyBorder="1" applyAlignment="1">
      <alignment horizontal="right" vertical="center" wrapText="1"/>
    </xf>
    <xf numFmtId="0" fontId="55" fillId="0" borderId="10" xfId="0" applyFont="1" applyBorder="1" applyAlignment="1">
      <alignment horizontal="left" vertical="center" wrapText="1"/>
    </xf>
    <xf numFmtId="44" fontId="107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/>
    </xf>
    <xf numFmtId="44" fontId="51" fillId="0" borderId="10" xfId="61" applyFont="1" applyBorder="1" applyAlignment="1">
      <alignment vertical="center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12" fillId="0" borderId="0" xfId="54">
      <alignment/>
      <protection/>
    </xf>
    <xf numFmtId="0" fontId="13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Alignment="1">
      <alignment wrapText="1"/>
      <protection/>
    </xf>
    <xf numFmtId="1" fontId="12" fillId="0" borderId="0" xfId="48" applyNumberFormat="1" applyFont="1" applyAlignment="1" applyProtection="1">
      <alignment horizontal="right" indent="3" shrinkToFit="1"/>
      <protection hidden="1"/>
    </xf>
    <xf numFmtId="0" fontId="12" fillId="0" borderId="0" xfId="54" applyFont="1" applyAlignment="1">
      <alignment horizontal="right"/>
      <protection/>
    </xf>
    <xf numFmtId="0" fontId="12" fillId="0" borderId="10" xfId="54" applyFont="1" applyBorder="1" applyAlignment="1">
      <alignment horizontal="right"/>
      <protection/>
    </xf>
    <xf numFmtId="0" fontId="12" fillId="0" borderId="10" xfId="54" applyFont="1" applyBorder="1">
      <alignment/>
      <protection/>
    </xf>
    <xf numFmtId="0" fontId="15" fillId="0" borderId="0" xfId="54" applyFont="1">
      <alignment/>
      <protection/>
    </xf>
    <xf numFmtId="0" fontId="14" fillId="33" borderId="27" xfId="54" applyFont="1" applyFill="1" applyBorder="1" applyAlignment="1">
      <alignment horizontal="center" vertical="center" wrapText="1"/>
      <protection/>
    </xf>
    <xf numFmtId="0" fontId="14" fillId="33" borderId="28" xfId="54" applyFont="1" applyFill="1" applyBorder="1" applyAlignment="1">
      <alignment horizontal="center"/>
      <protection/>
    </xf>
    <xf numFmtId="0" fontId="14" fillId="33" borderId="29" xfId="54" applyFont="1" applyFill="1" applyBorder="1" applyAlignment="1">
      <alignment horizontal="center"/>
      <protection/>
    </xf>
    <xf numFmtId="0" fontId="15" fillId="0" borderId="30" xfId="54" applyFont="1" applyBorder="1" applyAlignment="1">
      <alignment wrapText="1"/>
      <protection/>
    </xf>
    <xf numFmtId="1" fontId="15" fillId="0" borderId="30" xfId="54" applyNumberFormat="1" applyFont="1" applyBorder="1" applyAlignment="1">
      <alignment horizontal="center" vertical="top"/>
      <protection/>
    </xf>
    <xf numFmtId="1" fontId="15" fillId="0" borderId="30" xfId="54" applyNumberFormat="1" applyFont="1" applyBorder="1" applyAlignment="1" applyProtection="1">
      <alignment horizontal="center" vertical="top"/>
      <protection/>
    </xf>
    <xf numFmtId="0" fontId="15" fillId="0" borderId="30" xfId="54" applyFont="1" applyBorder="1" applyAlignment="1">
      <alignment horizontal="center" vertical="top"/>
      <protection/>
    </xf>
    <xf numFmtId="0" fontId="15" fillId="0" borderId="27" xfId="54" applyFont="1" applyBorder="1" applyAlignment="1">
      <alignment wrapText="1"/>
      <protection/>
    </xf>
    <xf numFmtId="0" fontId="15" fillId="0" borderId="27" xfId="54" applyFont="1" applyBorder="1" applyAlignment="1">
      <alignment horizontal="center" vertical="top"/>
      <protection/>
    </xf>
    <xf numFmtId="1" fontId="15" fillId="0" borderId="27" xfId="54" applyNumberFormat="1" applyFont="1" applyBorder="1" applyAlignment="1">
      <alignment horizontal="center" vertical="top"/>
      <protection/>
    </xf>
    <xf numFmtId="1" fontId="15" fillId="0" borderId="27" xfId="54" applyNumberFormat="1" applyFont="1" applyBorder="1" applyAlignment="1" applyProtection="1">
      <alignment horizontal="center" vertical="top"/>
      <protection/>
    </xf>
    <xf numFmtId="1" fontId="15" fillId="0" borderId="27" xfId="54" applyNumberFormat="1" applyFont="1" applyBorder="1" applyAlignment="1" applyProtection="1">
      <alignment horizontal="center" vertical="top"/>
      <protection locked="0"/>
    </xf>
    <xf numFmtId="0" fontId="15" fillId="0" borderId="31" xfId="54" applyFont="1" applyBorder="1" applyAlignment="1">
      <alignment wrapText="1"/>
      <protection/>
    </xf>
    <xf numFmtId="0" fontId="15" fillId="0" borderId="31" xfId="54" applyFont="1" applyBorder="1" applyAlignment="1">
      <alignment horizontal="center" vertical="top"/>
      <protection/>
    </xf>
    <xf numFmtId="1" fontId="15" fillId="0" borderId="31" xfId="54" applyNumberFormat="1" applyFont="1" applyBorder="1" applyAlignment="1">
      <alignment horizontal="center" vertical="top"/>
      <protection/>
    </xf>
    <xf numFmtId="1" fontId="15" fillId="0" borderId="31" xfId="54" applyNumberFormat="1" applyFont="1" applyBorder="1" applyAlignment="1" applyProtection="1">
      <alignment horizontal="center" vertical="top"/>
      <protection/>
    </xf>
    <xf numFmtId="0" fontId="15" fillId="0" borderId="0" xfId="54" applyFont="1" applyAlignment="1">
      <alignment wrapText="1"/>
      <protection/>
    </xf>
    <xf numFmtId="1" fontId="15" fillId="0" borderId="0" xfId="48" applyNumberFormat="1" applyFont="1" applyAlignment="1" applyProtection="1">
      <alignment horizontal="right" indent="3" shrinkToFit="1"/>
      <protection hidden="1"/>
    </xf>
    <xf numFmtId="1" fontId="15" fillId="0" borderId="0" xfId="54" applyNumberFormat="1" applyFont="1" applyProtection="1">
      <alignment/>
      <protection locked="0"/>
    </xf>
    <xf numFmtId="0" fontId="9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3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3" fillId="0" borderId="0" xfId="0" applyFont="1" applyBorder="1" applyAlignment="1">
      <alignment/>
    </xf>
    <xf numFmtId="0" fontId="15" fillId="32" borderId="0" xfId="54" applyFont="1" applyFill="1" applyBorder="1" applyAlignment="1">
      <alignment wrapText="1"/>
      <protection/>
    </xf>
    <xf numFmtId="0" fontId="15" fillId="0" borderId="0" xfId="54" applyFont="1" applyBorder="1" applyAlignment="1">
      <alignment wrapText="1"/>
      <protection/>
    </xf>
    <xf numFmtId="0" fontId="51" fillId="32" borderId="0" xfId="0" applyFont="1" applyFill="1" applyBorder="1" applyAlignment="1" applyProtection="1">
      <alignment horizontal="right" vertical="center"/>
      <protection/>
    </xf>
    <xf numFmtId="164" fontId="51" fillId="32" borderId="0" xfId="0" applyNumberFormat="1" applyFont="1" applyFill="1" applyBorder="1" applyAlignment="1">
      <alignment vertical="center"/>
    </xf>
    <xf numFmtId="0" fontId="16" fillId="32" borderId="0" xfId="54" applyFont="1" applyFill="1">
      <alignment/>
      <protection/>
    </xf>
    <xf numFmtId="0" fontId="114" fillId="32" borderId="0" xfId="54" applyFont="1" applyFill="1">
      <alignment/>
      <protection/>
    </xf>
    <xf numFmtId="0" fontId="96" fillId="0" borderId="0" xfId="0" applyFont="1" applyBorder="1" applyAlignment="1">
      <alignment wrapText="1"/>
    </xf>
    <xf numFmtId="0" fontId="55" fillId="0" borderId="16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 applyProtection="1">
      <alignment horizontal="left" vertical="center" wrapText="1"/>
      <protection/>
    </xf>
    <xf numFmtId="164" fontId="51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5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55" fillId="0" borderId="33" xfId="0" applyFont="1" applyBorder="1" applyAlignment="1">
      <alignment vertical="center"/>
    </xf>
    <xf numFmtId="0" fontId="98" fillId="0" borderId="21" xfId="0" applyFont="1" applyBorder="1" applyAlignment="1">
      <alignment vertical="center"/>
    </xf>
    <xf numFmtId="0" fontId="98" fillId="0" borderId="37" xfId="0" applyFont="1" applyBorder="1" applyAlignment="1">
      <alignment vertical="center"/>
    </xf>
    <xf numFmtId="0" fontId="2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104" fillId="0" borderId="0" xfId="0" applyFont="1" applyAlignment="1">
      <alignment vertical="center"/>
    </xf>
    <xf numFmtId="0" fontId="101" fillId="0" borderId="0" xfId="0" applyFont="1" applyBorder="1" applyAlignment="1">
      <alignment vertical="center"/>
    </xf>
    <xf numFmtId="0" fontId="101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164" fontId="108" fillId="0" borderId="0" xfId="0" applyNumberFormat="1" applyFont="1" applyBorder="1" applyAlignment="1" applyProtection="1">
      <alignment vertical="center"/>
      <protection/>
    </xf>
    <xf numFmtId="0" fontId="103" fillId="32" borderId="0" xfId="0" applyFont="1" applyFill="1" applyBorder="1" applyAlignment="1">
      <alignment vertical="center"/>
    </xf>
    <xf numFmtId="0" fontId="51" fillId="35" borderId="0" xfId="0" applyFont="1" applyFill="1" applyBorder="1" applyAlignment="1" applyProtection="1">
      <alignment horizontal="left" vertical="center" wrapText="1"/>
      <protection/>
    </xf>
    <xf numFmtId="0" fontId="109" fillId="35" borderId="0" xfId="0" applyFont="1" applyFill="1" applyBorder="1" applyAlignment="1" applyProtection="1">
      <alignment horizontal="left" vertical="center" wrapText="1"/>
      <protection/>
    </xf>
    <xf numFmtId="0" fontId="109" fillId="35" borderId="0" xfId="0" applyFont="1" applyFill="1" applyBorder="1" applyAlignment="1" applyProtection="1">
      <alignment horizontal="center" vertical="center" wrapText="1"/>
      <protection/>
    </xf>
    <xf numFmtId="44" fontId="107" fillId="35" borderId="0" xfId="61" applyFont="1" applyFill="1" applyBorder="1" applyAlignment="1" applyProtection="1">
      <alignment horizontal="center" vertical="center" wrapText="1"/>
      <protection/>
    </xf>
    <xf numFmtId="164" fontId="108" fillId="35" borderId="0" xfId="0" applyNumberFormat="1" applyFont="1" applyFill="1" applyBorder="1" applyAlignment="1" applyProtection="1">
      <alignment vertical="center"/>
      <protection/>
    </xf>
    <xf numFmtId="1" fontId="51" fillId="35" borderId="0" xfId="0" applyNumberFormat="1" applyFont="1" applyFill="1" applyBorder="1" applyAlignment="1" applyProtection="1">
      <alignment horizontal="left" vertical="center" wrapText="1"/>
      <protection/>
    </xf>
    <xf numFmtId="0" fontId="108" fillId="35" borderId="0" xfId="0" applyFont="1" applyFill="1" applyBorder="1" applyAlignment="1" applyProtection="1">
      <alignment horizontal="left" vertical="center" wrapText="1"/>
      <protection/>
    </xf>
    <xf numFmtId="0" fontId="55" fillId="35" borderId="0" xfId="0" applyFont="1" applyFill="1" applyBorder="1" applyAlignment="1" applyProtection="1">
      <alignment horizontal="center" vertical="center" wrapText="1"/>
      <protection/>
    </xf>
    <xf numFmtId="1" fontId="115" fillId="35" borderId="0" xfId="0" applyNumberFormat="1" applyFont="1" applyFill="1" applyBorder="1" applyAlignment="1" applyProtection="1">
      <alignment horizontal="left" vertical="center" wrapText="1"/>
      <protection/>
    </xf>
    <xf numFmtId="0" fontId="3" fillId="35" borderId="0" xfId="0" applyFont="1" applyFill="1" applyAlignment="1">
      <alignment vertical="center"/>
    </xf>
    <xf numFmtId="0" fontId="108" fillId="0" borderId="25" xfId="0" applyFont="1" applyBorder="1" applyAlignment="1" applyProtection="1">
      <alignment vertical="center"/>
      <protection/>
    </xf>
    <xf numFmtId="0" fontId="108" fillId="0" borderId="10" xfId="0" applyFont="1" applyBorder="1" applyAlignment="1" applyProtection="1">
      <alignment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vertical="center"/>
      <protection/>
    </xf>
    <xf numFmtId="164" fontId="51" fillId="0" borderId="26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55" fillId="0" borderId="0" xfId="0" applyFont="1" applyBorder="1" applyAlignment="1" applyProtection="1">
      <alignment horizontal="center" vertical="center"/>
      <protection/>
    </xf>
    <xf numFmtId="164" fontId="51" fillId="0" borderId="24" xfId="0" applyNumberFormat="1" applyFont="1" applyFill="1" applyBorder="1" applyAlignment="1" applyProtection="1">
      <alignment vertical="center"/>
      <protection/>
    </xf>
    <xf numFmtId="44" fontId="51" fillId="0" borderId="0" xfId="61" applyFont="1" applyBorder="1" applyAlignment="1" applyProtection="1">
      <alignment vertical="center"/>
      <protection/>
    </xf>
    <xf numFmtId="164" fontId="55" fillId="32" borderId="0" xfId="0" applyNumberFormat="1" applyFont="1" applyFill="1" applyBorder="1" applyAlignment="1" applyProtection="1">
      <alignment vertical="center"/>
      <protection/>
    </xf>
    <xf numFmtId="164" fontId="55" fillId="0" borderId="24" xfId="0" applyNumberFormat="1" applyFont="1" applyBorder="1" applyAlignment="1" applyProtection="1">
      <alignment vertical="center"/>
      <protection/>
    </xf>
    <xf numFmtId="164" fontId="55" fillId="0" borderId="24" xfId="0" applyNumberFormat="1" applyFont="1" applyFill="1" applyBorder="1" applyAlignment="1" applyProtection="1">
      <alignment vertical="center"/>
      <protection/>
    </xf>
    <xf numFmtId="164" fontId="55" fillId="32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left" vertical="center" indent="4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 indent="4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32" borderId="30" xfId="54" applyFont="1" applyFill="1" applyBorder="1" applyAlignment="1">
      <alignment wrapText="1"/>
      <protection/>
    </xf>
    <xf numFmtId="1" fontId="15" fillId="32" borderId="30" xfId="54" applyNumberFormat="1" applyFont="1" applyFill="1" applyBorder="1" applyAlignment="1">
      <alignment horizontal="center" vertical="top"/>
      <protection/>
    </xf>
    <xf numFmtId="1" fontId="15" fillId="32" borderId="30" xfId="54" applyNumberFormat="1" applyFont="1" applyFill="1" applyBorder="1" applyAlignment="1" applyProtection="1">
      <alignment horizontal="center" vertical="top"/>
      <protection/>
    </xf>
    <xf numFmtId="0" fontId="15" fillId="32" borderId="30" xfId="54" applyFont="1" applyFill="1" applyBorder="1" applyAlignment="1">
      <alignment horizontal="center" vertical="top"/>
      <protection/>
    </xf>
    <xf numFmtId="0" fontId="15" fillId="32" borderId="38" xfId="54" applyFont="1" applyFill="1" applyBorder="1" applyAlignment="1">
      <alignment wrapText="1"/>
      <protection/>
    </xf>
    <xf numFmtId="1" fontId="79" fillId="32" borderId="39" xfId="54" applyNumberFormat="1" applyFont="1" applyFill="1" applyBorder="1" applyAlignment="1">
      <alignment horizontal="center" vertical="top"/>
      <protection/>
    </xf>
    <xf numFmtId="0" fontId="79" fillId="32" borderId="40" xfId="54" applyFont="1" applyFill="1" applyBorder="1" applyAlignment="1">
      <alignment horizontal="center" vertical="top"/>
      <protection/>
    </xf>
    <xf numFmtId="0" fontId="116" fillId="0" borderId="0" xfId="54" applyFont="1">
      <alignment/>
      <protection/>
    </xf>
    <xf numFmtId="0" fontId="15" fillId="0" borderId="27" xfId="54" applyFont="1" applyFill="1" applyBorder="1" applyAlignment="1">
      <alignment horizontal="center" vertical="top"/>
      <protection/>
    </xf>
    <xf numFmtId="179" fontId="21" fillId="0" borderId="27" xfId="54" applyNumberFormat="1" applyFont="1" applyBorder="1" applyAlignment="1">
      <alignment horizontal="center" vertical="top"/>
      <protection/>
    </xf>
    <xf numFmtId="179" fontId="21" fillId="0" borderId="30" xfId="54" applyNumberFormat="1" applyFont="1" applyBorder="1" applyAlignment="1">
      <alignment horizontal="center" vertical="top"/>
      <protection/>
    </xf>
    <xf numFmtId="0" fontId="117" fillId="0" borderId="0" xfId="0" applyFont="1" applyBorder="1" applyAlignment="1">
      <alignment vertical="center" wrapText="1"/>
    </xf>
    <xf numFmtId="0" fontId="12" fillId="0" borderId="10" xfId="54" applyBorder="1">
      <alignment/>
      <protection/>
    </xf>
    <xf numFmtId="0" fontId="98" fillId="32" borderId="0" xfId="0" applyFont="1" applyFill="1" applyAlignment="1" applyProtection="1">
      <alignment vertical="center"/>
      <protection locked="0"/>
    </xf>
    <xf numFmtId="0" fontId="98" fillId="32" borderId="0" xfId="0" applyFont="1" applyFill="1" applyAlignment="1" applyProtection="1">
      <alignment horizontal="left" vertical="center"/>
      <protection locked="0"/>
    </xf>
    <xf numFmtId="44" fontId="51" fillId="0" borderId="0" xfId="6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44" fontId="107" fillId="0" borderId="0" xfId="61" applyFont="1" applyFill="1" applyBorder="1" applyAlignment="1" applyProtection="1">
      <alignment horizontal="center" vertical="center" wrapText="1"/>
      <protection/>
    </xf>
    <xf numFmtId="0" fontId="109" fillId="0" borderId="0" xfId="0" applyFont="1" applyFill="1" applyBorder="1" applyAlignment="1" applyProtection="1">
      <alignment horizontal="center" vertical="center" wrapText="1"/>
      <protection/>
    </xf>
    <xf numFmtId="164" fontId="108" fillId="0" borderId="24" xfId="0" applyNumberFormat="1" applyFont="1" applyFill="1" applyBorder="1" applyAlignment="1" applyProtection="1">
      <alignment vertical="center"/>
      <protection/>
    </xf>
    <xf numFmtId="20" fontId="107" fillId="0" borderId="0" xfId="61" applyNumberFormat="1" applyFont="1" applyFill="1" applyBorder="1" applyAlignment="1" applyProtection="1">
      <alignment horizontal="right" vertical="center" wrapText="1"/>
      <protection/>
    </xf>
    <xf numFmtId="0" fontId="98" fillId="0" borderId="0" xfId="0" applyFont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18" fillId="0" borderId="0" xfId="0" applyFont="1" applyAlignment="1">
      <alignment horizontal="left" vertical="center" indent="4"/>
    </xf>
    <xf numFmtId="0" fontId="119" fillId="33" borderId="14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119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41" xfId="0" applyFill="1" applyBorder="1" applyAlignment="1">
      <alignment/>
    </xf>
    <xf numFmtId="0" fontId="101" fillId="35" borderId="0" xfId="0" applyFont="1" applyFill="1" applyAlignment="1">
      <alignment vertical="center"/>
    </xf>
    <xf numFmtId="0" fontId="120" fillId="0" borderId="0" xfId="0" applyFont="1" applyAlignment="1">
      <alignment horizontal="left" vertical="center" indent="4"/>
    </xf>
    <xf numFmtId="0" fontId="98" fillId="0" borderId="42" xfId="0" applyFont="1" applyBorder="1" applyAlignment="1">
      <alignment vertical="center"/>
    </xf>
    <xf numFmtId="0" fontId="15" fillId="32" borderId="0" xfId="54" applyFont="1" applyFill="1">
      <alignment/>
      <protection/>
    </xf>
    <xf numFmtId="0" fontId="12" fillId="32" borderId="0" xfId="54" applyFill="1">
      <alignment/>
      <protection/>
    </xf>
    <xf numFmtId="0" fontId="0" fillId="32" borderId="0" xfId="0" applyFill="1" applyAlignment="1">
      <alignment/>
    </xf>
    <xf numFmtId="164" fontId="51" fillId="0" borderId="24" xfId="0" applyNumberFormat="1" applyFont="1" applyBorder="1" applyAlignment="1">
      <alignment horizontal="center" vertical="center"/>
    </xf>
    <xf numFmtId="0" fontId="121" fillId="0" borderId="0" xfId="54" applyFont="1">
      <alignment/>
      <protection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0" fillId="0" borderId="10" xfId="0" applyFont="1" applyBorder="1" applyAlignment="1">
      <alignment/>
    </xf>
    <xf numFmtId="0" fontId="124" fillId="0" borderId="0" xfId="0" applyFont="1" applyAlignment="1">
      <alignment/>
    </xf>
    <xf numFmtId="14" fontId="51" fillId="32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35" borderId="0" xfId="0" applyFont="1" applyFill="1" applyBorder="1" applyAlignment="1" applyProtection="1">
      <alignment horizontal="left" vertical="center" wrapText="1"/>
      <protection/>
    </xf>
    <xf numFmtId="0" fontId="12" fillId="32" borderId="10" xfId="0" applyFont="1" applyFill="1" applyBorder="1" applyAlignment="1" applyProtection="1">
      <alignment horizontal="left" vertical="center" wrapText="1"/>
      <protection/>
    </xf>
    <xf numFmtId="0" fontId="55" fillId="0" borderId="13" xfId="0" applyFont="1" applyBorder="1" applyAlignment="1">
      <alignment vertical="top" wrapText="1"/>
    </xf>
    <xf numFmtId="0" fontId="11" fillId="36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2" fillId="36" borderId="35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6" xfId="0" applyFont="1" applyFill="1" applyBorder="1" applyAlignment="1">
      <alignment vertical="center"/>
    </xf>
    <xf numFmtId="0" fontId="101" fillId="3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44" fontId="100" fillId="32" borderId="0" xfId="61" applyFont="1" applyFill="1" applyAlignment="1">
      <alignment horizontal="center" vertical="center"/>
    </xf>
    <xf numFmtId="44" fontId="6" fillId="0" borderId="0" xfId="61" applyFont="1" applyAlignment="1">
      <alignment horizontal="center" vertical="center"/>
    </xf>
    <xf numFmtId="44" fontId="6" fillId="35" borderId="0" xfId="0" applyNumberFormat="1" applyFont="1" applyFill="1" applyAlignment="1">
      <alignment vertical="center"/>
    </xf>
    <xf numFmtId="0" fontId="25" fillId="35" borderId="0" xfId="0" applyFont="1" applyFill="1" applyAlignment="1">
      <alignment vertical="center"/>
    </xf>
    <xf numFmtId="44" fontId="25" fillId="35" borderId="0" xfId="0" applyNumberFormat="1" applyFont="1" applyFill="1" applyAlignment="1">
      <alignment vertical="center"/>
    </xf>
    <xf numFmtId="44" fontId="6" fillId="32" borderId="0" xfId="6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01" fillId="32" borderId="0" xfId="0" applyFont="1" applyFill="1" applyAlignment="1">
      <alignment vertical="center"/>
    </xf>
    <xf numFmtId="44" fontId="98" fillId="32" borderId="0" xfId="61" applyFont="1" applyFill="1" applyAlignment="1">
      <alignment vertical="center"/>
    </xf>
    <xf numFmtId="20" fontId="98" fillId="32" borderId="0" xfId="0" applyNumberFormat="1" applyFont="1" applyFill="1" applyAlignment="1">
      <alignment vertical="center"/>
    </xf>
    <xf numFmtId="2" fontId="98" fillId="32" borderId="0" xfId="0" applyNumberFormat="1" applyFont="1" applyFill="1" applyAlignment="1">
      <alignment vertical="center"/>
    </xf>
    <xf numFmtId="44" fontId="98" fillId="32" borderId="0" xfId="0" applyNumberFormat="1" applyFont="1" applyFill="1" applyAlignment="1">
      <alignment vertical="center"/>
    </xf>
    <xf numFmtId="44" fontId="51" fillId="0" borderId="0" xfId="61" applyFont="1" applyFill="1" applyBorder="1" applyAlignment="1" applyProtection="1">
      <alignment vertical="center"/>
      <protection/>
    </xf>
    <xf numFmtId="0" fontId="100" fillId="0" borderId="0" xfId="0" applyFont="1" applyAlignment="1">
      <alignment vertical="center"/>
    </xf>
    <xf numFmtId="0" fontId="51" fillId="32" borderId="16" xfId="0" applyFont="1" applyFill="1" applyBorder="1" applyAlignment="1" applyProtection="1">
      <alignment vertical="center"/>
      <protection/>
    </xf>
    <xf numFmtId="0" fontId="51" fillId="32" borderId="0" xfId="0" applyFont="1" applyFill="1" applyBorder="1" applyAlignment="1" applyProtection="1">
      <alignment vertical="center"/>
      <protection/>
    </xf>
    <xf numFmtId="0" fontId="104" fillId="32" borderId="0" xfId="0" applyFont="1" applyFill="1" applyAlignment="1" applyProtection="1">
      <alignment vertical="center"/>
      <protection locked="0"/>
    </xf>
    <xf numFmtId="0" fontId="118" fillId="0" borderId="0" xfId="0" applyFont="1" applyAlignment="1">
      <alignment horizontal="left" vertical="center" indent="4"/>
    </xf>
    <xf numFmtId="2" fontId="95" fillId="0" borderId="0" xfId="0" applyNumberFormat="1" applyFont="1" applyAlignment="1">
      <alignment vertical="center"/>
    </xf>
    <xf numFmtId="44" fontId="51" fillId="32" borderId="0" xfId="61" applyFont="1" applyFill="1" applyBorder="1" applyAlignment="1" applyProtection="1">
      <alignment horizontal="center" vertical="center" wrapText="1"/>
      <protection/>
    </xf>
    <xf numFmtId="0" fontId="101" fillId="32" borderId="0" xfId="0" applyFont="1" applyFill="1" applyBorder="1" applyAlignment="1" applyProtection="1">
      <alignment vertical="center" wrapText="1"/>
      <protection locked="0"/>
    </xf>
    <xf numFmtId="0" fontId="98" fillId="0" borderId="0" xfId="0" applyFont="1" applyAlignment="1">
      <alignment horizontal="left" vertical="center"/>
    </xf>
    <xf numFmtId="20" fontId="98" fillId="0" borderId="0" xfId="0" applyNumberFormat="1" applyFont="1" applyAlignment="1">
      <alignment vertical="center"/>
    </xf>
    <xf numFmtId="2" fontId="98" fillId="0" borderId="0" xfId="0" applyNumberFormat="1" applyFont="1" applyAlignment="1">
      <alignment vertical="center"/>
    </xf>
    <xf numFmtId="0" fontId="15" fillId="32" borderId="27" xfId="54" applyFont="1" applyFill="1" applyBorder="1" applyAlignment="1">
      <alignment wrapText="1"/>
      <protection/>
    </xf>
    <xf numFmtId="0" fontId="15" fillId="32" borderId="27" xfId="54" applyFont="1" applyFill="1" applyBorder="1" applyAlignment="1">
      <alignment horizontal="center" vertical="top"/>
      <protection/>
    </xf>
    <xf numFmtId="1" fontId="15" fillId="32" borderId="27" xfId="54" applyNumberFormat="1" applyFont="1" applyFill="1" applyBorder="1" applyAlignment="1">
      <alignment horizontal="center" vertical="top"/>
      <protection/>
    </xf>
    <xf numFmtId="1" fontId="15" fillId="32" borderId="27" xfId="54" applyNumberFormat="1" applyFont="1" applyFill="1" applyBorder="1" applyAlignment="1" applyProtection="1">
      <alignment horizontal="center" vertical="top"/>
      <protection/>
    </xf>
    <xf numFmtId="0" fontId="0" fillId="32" borderId="27" xfId="54" applyFont="1" applyFill="1" applyBorder="1" applyAlignment="1">
      <alignment wrapText="1"/>
      <protection/>
    </xf>
    <xf numFmtId="1" fontId="15" fillId="32" borderId="0" xfId="54" applyNumberFormat="1" applyFont="1" applyFill="1">
      <alignment/>
      <protection/>
    </xf>
    <xf numFmtId="0" fontId="51" fillId="33" borderId="0" xfId="0" applyFont="1" applyFill="1" applyBorder="1" applyAlignment="1">
      <alignment horizontal="left" vertical="center" wrapText="1"/>
    </xf>
    <xf numFmtId="0" fontId="51" fillId="32" borderId="0" xfId="0" applyFont="1" applyFill="1" applyBorder="1" applyAlignment="1" applyProtection="1">
      <alignment horizontal="left" vertical="center" wrapText="1"/>
      <protection locked="0"/>
    </xf>
    <xf numFmtId="14" fontId="51" fillId="32" borderId="10" xfId="0" applyNumberFormat="1" applyFont="1" applyFill="1" applyBorder="1" applyAlignment="1" applyProtection="1">
      <alignment horizontal="left" vertical="center"/>
      <protection locked="0"/>
    </xf>
    <xf numFmtId="20" fontId="104" fillId="32" borderId="0" xfId="0" applyNumberFormat="1" applyFont="1" applyFill="1" applyAlignment="1">
      <alignment vertical="center"/>
    </xf>
    <xf numFmtId="0" fontId="108" fillId="0" borderId="0" xfId="0" applyFont="1" applyBorder="1" applyAlignment="1">
      <alignment horizontal="right" vertical="center"/>
    </xf>
    <xf numFmtId="164" fontId="108" fillId="32" borderId="24" xfId="0" applyNumberFormat="1" applyFont="1" applyFill="1" applyBorder="1" applyAlignment="1" applyProtection="1">
      <alignment vertical="center"/>
      <protection/>
    </xf>
    <xf numFmtId="164" fontId="51" fillId="32" borderId="11" xfId="0" applyNumberFormat="1" applyFont="1" applyFill="1" applyBorder="1" applyAlignment="1" applyProtection="1">
      <alignment vertical="center"/>
      <protection/>
    </xf>
    <xf numFmtId="1" fontId="104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03" fillId="32" borderId="0" xfId="0" applyFont="1" applyFill="1" applyAlignment="1" applyProtection="1">
      <alignment vertical="center"/>
      <protection/>
    </xf>
    <xf numFmtId="0" fontId="103" fillId="0" borderId="0" xfId="0" applyFont="1" applyAlignment="1" applyProtection="1">
      <alignment vertical="center"/>
      <protection/>
    </xf>
    <xf numFmtId="0" fontId="104" fillId="32" borderId="0" xfId="0" applyFont="1" applyFill="1" applyAlignment="1" applyProtection="1">
      <alignment vertical="center"/>
      <protection/>
    </xf>
    <xf numFmtId="0" fontId="13" fillId="32" borderId="0" xfId="54" applyFont="1" applyFill="1">
      <alignment/>
      <protection/>
    </xf>
    <xf numFmtId="1" fontId="12" fillId="32" borderId="0" xfId="54" applyNumberFormat="1" applyFill="1">
      <alignment/>
      <protection/>
    </xf>
    <xf numFmtId="0" fontId="12" fillId="32" borderId="0" xfId="54" applyFont="1" applyFill="1">
      <alignment/>
      <protection/>
    </xf>
    <xf numFmtId="0" fontId="107" fillId="0" borderId="0" xfId="0" applyFont="1" applyBorder="1" applyAlignment="1" applyProtection="1">
      <alignment horizontal="center" vertical="center"/>
      <protection/>
    </xf>
    <xf numFmtId="0" fontId="119" fillId="33" borderId="25" xfId="0" applyFont="1" applyFill="1" applyBorder="1" applyAlignment="1">
      <alignment vertical="center"/>
    </xf>
    <xf numFmtId="0" fontId="125" fillId="0" borderId="0" xfId="0" applyFont="1" applyAlignment="1">
      <alignment/>
    </xf>
    <xf numFmtId="0" fontId="122" fillId="0" borderId="0" xfId="0" applyFont="1" applyAlignment="1">
      <alignment vertical="top"/>
    </xf>
    <xf numFmtId="0" fontId="51" fillId="34" borderId="18" xfId="0" applyFont="1" applyFill="1" applyBorder="1" applyAlignment="1" applyProtection="1">
      <alignment horizontal="left" vertical="center" wrapText="1"/>
      <protection locked="0"/>
    </xf>
    <xf numFmtId="0" fontId="51" fillId="34" borderId="12" xfId="0" applyFont="1" applyFill="1" applyBorder="1" applyAlignment="1" applyProtection="1">
      <alignment horizontal="left" vertical="center" wrapText="1"/>
      <protection locked="0"/>
    </xf>
    <xf numFmtId="0" fontId="51" fillId="34" borderId="19" xfId="0" applyFont="1" applyFill="1" applyBorder="1" applyAlignment="1" applyProtection="1">
      <alignment horizontal="left" vertical="center" wrapText="1"/>
      <protection locked="0"/>
    </xf>
    <xf numFmtId="44" fontId="51" fillId="33" borderId="18" xfId="61" applyFont="1" applyFill="1" applyBorder="1" applyAlignment="1" applyProtection="1">
      <alignment horizontal="left" vertical="center" wrapText="1"/>
      <protection/>
    </xf>
    <xf numFmtId="44" fontId="51" fillId="33" borderId="12" xfId="61" applyFont="1" applyFill="1" applyBorder="1" applyAlignment="1" applyProtection="1">
      <alignment horizontal="left" vertical="center" wrapText="1"/>
      <protection/>
    </xf>
    <xf numFmtId="44" fontId="51" fillId="33" borderId="19" xfId="61" applyFont="1" applyFill="1" applyBorder="1" applyAlignment="1" applyProtection="1">
      <alignment horizontal="left" vertical="center" wrapText="1"/>
      <protection/>
    </xf>
    <xf numFmtId="44" fontId="51" fillId="32" borderId="18" xfId="61" applyFont="1" applyFill="1" applyBorder="1" applyAlignment="1" applyProtection="1">
      <alignment vertical="center" wrapText="1"/>
      <protection locked="0"/>
    </xf>
    <xf numFmtId="44" fontId="51" fillId="32" borderId="12" xfId="61" applyFont="1" applyFill="1" applyBorder="1" applyAlignment="1" applyProtection="1">
      <alignment vertical="center" wrapText="1"/>
      <protection locked="0"/>
    </xf>
    <xf numFmtId="44" fontId="51" fillId="32" borderId="19" xfId="61" applyFont="1" applyFill="1" applyBorder="1" applyAlignment="1" applyProtection="1">
      <alignment vertical="center" wrapText="1"/>
      <protection locked="0"/>
    </xf>
    <xf numFmtId="49" fontId="5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51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1" fillId="34" borderId="19" xfId="0" applyNumberFormat="1" applyFont="1" applyFill="1" applyBorder="1" applyAlignment="1" applyProtection="1">
      <alignment horizontal="left" vertical="center" wrapText="1"/>
      <protection locked="0"/>
    </xf>
    <xf numFmtId="44" fontId="0" fillId="34" borderId="18" xfId="61" applyFont="1" applyFill="1" applyBorder="1" applyAlignment="1" applyProtection="1">
      <alignment horizontal="left" vertical="center" wrapText="1"/>
      <protection locked="0"/>
    </xf>
    <xf numFmtId="44" fontId="0" fillId="34" borderId="12" xfId="61" applyFont="1" applyFill="1" applyBorder="1" applyAlignment="1" applyProtection="1">
      <alignment horizontal="left" vertical="center" wrapText="1"/>
      <protection locked="0"/>
    </xf>
    <xf numFmtId="44" fontId="0" fillId="34" borderId="19" xfId="61" applyFont="1" applyFill="1" applyBorder="1" applyAlignment="1" applyProtection="1">
      <alignment horizontal="left" vertical="center" wrapText="1"/>
      <protection locked="0"/>
    </xf>
    <xf numFmtId="0" fontId="12" fillId="34" borderId="18" xfId="0" applyFont="1" applyFill="1" applyBorder="1" applyAlignment="1" applyProtection="1">
      <alignment horizontal="left" vertical="center"/>
      <protection locked="0"/>
    </xf>
    <xf numFmtId="0" fontId="12" fillId="34" borderId="12" xfId="0" applyFont="1" applyFill="1" applyBorder="1" applyAlignment="1" applyProtection="1">
      <alignment horizontal="left" vertical="center"/>
      <protection locked="0"/>
    </xf>
    <xf numFmtId="0" fontId="12" fillId="34" borderId="19" xfId="0" applyFont="1" applyFill="1" applyBorder="1" applyAlignment="1" applyProtection="1">
      <alignment horizontal="left" vertical="center"/>
      <protection locked="0"/>
    </xf>
    <xf numFmtId="0" fontId="113" fillId="32" borderId="10" xfId="0" applyFont="1" applyFill="1" applyBorder="1" applyAlignment="1" applyProtection="1">
      <alignment horizontal="left" vertical="center" wrapText="1"/>
      <protection locked="0"/>
    </xf>
    <xf numFmtId="0" fontId="24" fillId="34" borderId="18" xfId="0" applyFont="1" applyFill="1" applyBorder="1" applyAlignment="1" applyProtection="1">
      <alignment horizontal="left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 locked="0"/>
    </xf>
    <xf numFmtId="0" fontId="24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14" fontId="0" fillId="34" borderId="18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20" fontId="0" fillId="34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0" xfId="0" applyFont="1" applyFill="1" applyBorder="1" applyAlignment="1" applyProtection="1">
      <alignment horizontal="left" vertical="center" wrapText="1"/>
      <protection locked="0"/>
    </xf>
    <xf numFmtId="164" fontId="51" fillId="0" borderId="16" xfId="0" applyNumberFormat="1" applyFont="1" applyBorder="1" applyAlignment="1">
      <alignment horizontal="right" vertical="center"/>
    </xf>
    <xf numFmtId="164" fontId="51" fillId="0" borderId="0" xfId="0" applyNumberFormat="1" applyFont="1" applyBorder="1" applyAlignment="1">
      <alignment horizontal="right" vertical="center"/>
    </xf>
    <xf numFmtId="164" fontId="51" fillId="0" borderId="17" xfId="0" applyNumberFormat="1" applyFont="1" applyBorder="1" applyAlignment="1">
      <alignment horizontal="right" vertical="center"/>
    </xf>
    <xf numFmtId="44" fontId="51" fillId="0" borderId="16" xfId="61" applyFont="1" applyBorder="1" applyAlignment="1">
      <alignment horizontal="center" vertical="center"/>
    </xf>
    <xf numFmtId="44" fontId="51" fillId="0" borderId="0" xfId="61" applyFont="1" applyBorder="1" applyAlignment="1">
      <alignment horizontal="center" vertical="center"/>
    </xf>
    <xf numFmtId="44" fontId="51" fillId="0" borderId="17" xfId="6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32" borderId="16" xfId="0" applyFont="1" applyFill="1" applyBorder="1" applyAlignment="1" applyProtection="1">
      <alignment horizontal="left" vertical="center" wrapText="1"/>
      <protection/>
    </xf>
    <xf numFmtId="0" fontId="51" fillId="32" borderId="0" xfId="0" applyFont="1" applyFill="1" applyBorder="1" applyAlignment="1" applyProtection="1">
      <alignment horizontal="left" vertical="center" wrapText="1"/>
      <protection/>
    </xf>
    <xf numFmtId="0" fontId="51" fillId="32" borderId="16" xfId="0" applyFont="1" applyFill="1" applyBorder="1" applyAlignment="1" applyProtection="1">
      <alignment horizontal="left" vertical="center"/>
      <protection/>
    </xf>
    <xf numFmtId="0" fontId="51" fillId="32" borderId="0" xfId="0" applyFont="1" applyFill="1" applyBorder="1" applyAlignment="1" applyProtection="1">
      <alignment horizontal="left" vertical="center"/>
      <protection/>
    </xf>
    <xf numFmtId="164" fontId="51" fillId="0" borderId="16" xfId="0" applyNumberFormat="1" applyFont="1" applyBorder="1" applyAlignment="1">
      <alignment horizontal="center" vertical="center"/>
    </xf>
    <xf numFmtId="164" fontId="51" fillId="0" borderId="0" xfId="0" applyNumberFormat="1" applyFont="1" applyBorder="1" applyAlignment="1">
      <alignment horizontal="center" vertical="center"/>
    </xf>
    <xf numFmtId="164" fontId="51" fillId="0" borderId="17" xfId="0" applyNumberFormat="1" applyFont="1" applyBorder="1" applyAlignment="1">
      <alignment horizontal="center" vertical="center"/>
    </xf>
    <xf numFmtId="0" fontId="55" fillId="0" borderId="16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35" borderId="16" xfId="0" applyFont="1" applyFill="1" applyBorder="1" applyAlignment="1" applyProtection="1">
      <alignment horizontal="left" vertical="center" wrapText="1"/>
      <protection/>
    </xf>
    <xf numFmtId="0" fontId="55" fillId="35" borderId="0" xfId="0" applyFont="1" applyFill="1" applyBorder="1" applyAlignment="1" applyProtection="1">
      <alignment horizontal="left" vertical="center" wrapText="1"/>
      <protection/>
    </xf>
    <xf numFmtId="0" fontId="51" fillId="33" borderId="18" xfId="0" applyFont="1" applyFill="1" applyBorder="1" applyAlignment="1" applyProtection="1">
      <alignment horizontal="center" vertical="center"/>
      <protection locked="0"/>
    </xf>
    <xf numFmtId="0" fontId="51" fillId="33" borderId="12" xfId="0" applyFont="1" applyFill="1" applyBorder="1" applyAlignment="1" applyProtection="1">
      <alignment horizontal="center" vertical="center"/>
      <protection locked="0"/>
    </xf>
    <xf numFmtId="0" fontId="51" fillId="33" borderId="19" xfId="0" applyFont="1" applyFill="1" applyBorder="1" applyAlignment="1" applyProtection="1">
      <alignment horizontal="center" vertical="center"/>
      <protection locked="0"/>
    </xf>
    <xf numFmtId="0" fontId="55" fillId="0" borderId="16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51" fillId="32" borderId="0" xfId="0" applyFont="1" applyFill="1" applyBorder="1" applyAlignment="1" applyProtection="1">
      <alignment horizontal="center" vertical="center"/>
      <protection locked="0"/>
    </xf>
    <xf numFmtId="0" fontId="51" fillId="0" borderId="13" xfId="0" applyFont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32" borderId="0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>
      <alignment horizontal="center" vertical="center"/>
    </xf>
    <xf numFmtId="0" fontId="14" fillId="33" borderId="43" xfId="54" applyFont="1" applyFill="1" applyBorder="1" applyAlignment="1">
      <alignment horizontal="center" vertical="center" wrapText="1"/>
      <protection/>
    </xf>
    <xf numFmtId="0" fontId="14" fillId="33" borderId="44" xfId="54" applyFont="1" applyFill="1" applyBorder="1" applyAlignment="1">
      <alignment vertical="center" wrapText="1"/>
      <protection/>
    </xf>
    <xf numFmtId="0" fontId="14" fillId="33" borderId="45" xfId="54" applyFont="1" applyFill="1" applyBorder="1" applyAlignment="1">
      <alignment vertical="center" wrapText="1"/>
      <protection/>
    </xf>
    <xf numFmtId="0" fontId="14" fillId="33" borderId="38" xfId="54" applyFont="1" applyFill="1" applyBorder="1" applyAlignment="1">
      <alignment horizontal="center" vertical="center" wrapText="1"/>
      <protection/>
    </xf>
    <xf numFmtId="0" fontId="14" fillId="33" borderId="39" xfId="54" applyFont="1" applyFill="1" applyBorder="1" applyAlignment="1">
      <alignment horizontal="center" vertical="center" wrapText="1"/>
      <protection/>
    </xf>
    <xf numFmtId="0" fontId="14" fillId="33" borderId="40" xfId="54" applyFont="1" applyFill="1" applyBorder="1" applyAlignment="1">
      <alignment horizontal="center" vertical="center" wrapText="1"/>
      <protection/>
    </xf>
    <xf numFmtId="0" fontId="14" fillId="33" borderId="46" xfId="54" applyFont="1" applyFill="1" applyBorder="1" applyAlignment="1">
      <alignment horizontal="center" vertical="center" wrapText="1"/>
      <protection/>
    </xf>
    <xf numFmtId="0" fontId="14" fillId="33" borderId="47" xfId="54" applyFont="1" applyFill="1" applyBorder="1" applyAlignment="1">
      <alignment horizontal="center" vertical="center" wrapText="1"/>
      <protection/>
    </xf>
    <xf numFmtId="44" fontId="11" fillId="0" borderId="0" xfId="61" applyFont="1" applyAlignment="1">
      <alignment horizontal="left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13</xdr:col>
      <xdr:colOff>704850</xdr:colOff>
      <xdr:row>36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1450" y="7305675"/>
          <a:ext cx="88582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Das Tool wurde nach bestem Wissen, jedoch ohne Gewähr erstellt. Für mögliche Schäden, die im Zusammenhang mit dem Einsatz des Tools stehen könnten, wird keine Gewährleistung übernommen.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1714500</xdr:colOff>
      <xdr:row>21</xdr:row>
      <xdr:rowOff>104775</xdr:rowOff>
    </xdr:from>
    <xdr:to>
      <xdr:col>1</xdr:col>
      <xdr:colOff>2228850</xdr:colOff>
      <xdr:row>21</xdr:row>
      <xdr:rowOff>152400</xdr:rowOff>
    </xdr:to>
    <xdr:sp>
      <xdr:nvSpPr>
        <xdr:cNvPr id="1" name="Pfeil nach rechts 1"/>
        <xdr:cNvSpPr>
          <a:spLocks/>
        </xdr:cNvSpPr>
      </xdr:nvSpPr>
      <xdr:spPr>
        <a:xfrm>
          <a:off x="1885950" y="3438525"/>
          <a:ext cx="514350" cy="47625"/>
        </a:xfrm>
        <a:prstGeom prst="rightArrow">
          <a:avLst>
            <a:gd name="adj" fmla="val 45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21</xdr:row>
      <xdr:rowOff>142875</xdr:rowOff>
    </xdr:from>
    <xdr:to>
      <xdr:col>12</xdr:col>
      <xdr:colOff>19050</xdr:colOff>
      <xdr:row>22</xdr:row>
      <xdr:rowOff>28575</xdr:rowOff>
    </xdr:to>
    <xdr:sp>
      <xdr:nvSpPr>
        <xdr:cNvPr id="1" name="Rechteck 3"/>
        <xdr:cNvSpPr>
          <a:spLocks/>
        </xdr:cNvSpPr>
      </xdr:nvSpPr>
      <xdr:spPr>
        <a:xfrm>
          <a:off x="457200" y="2609850"/>
          <a:ext cx="7191375" cy="47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21</xdr:row>
      <xdr:rowOff>133350</xdr:rowOff>
    </xdr:from>
    <xdr:to>
      <xdr:col>1</xdr:col>
      <xdr:colOff>352425</xdr:colOff>
      <xdr:row>24</xdr:row>
      <xdr:rowOff>238125</xdr:rowOff>
    </xdr:to>
    <xdr:sp>
      <xdr:nvSpPr>
        <xdr:cNvPr id="2" name="Pfeil nach unten 1"/>
        <xdr:cNvSpPr>
          <a:spLocks/>
        </xdr:cNvSpPr>
      </xdr:nvSpPr>
      <xdr:spPr>
        <a:xfrm>
          <a:off x="276225" y="2600325"/>
          <a:ext cx="247650" cy="504825"/>
        </a:xfrm>
        <a:prstGeom prst="downArrow">
          <a:avLst>
            <a:gd name="adj" fmla="val 25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21</xdr:row>
      <xdr:rowOff>123825</xdr:rowOff>
    </xdr:from>
    <xdr:to>
      <xdr:col>11</xdr:col>
      <xdr:colOff>266700</xdr:colOff>
      <xdr:row>31</xdr:row>
      <xdr:rowOff>133350</xdr:rowOff>
    </xdr:to>
    <xdr:sp>
      <xdr:nvSpPr>
        <xdr:cNvPr id="1" name="Geschweifte Klammer rechts 9"/>
        <xdr:cNvSpPr>
          <a:spLocks/>
        </xdr:cNvSpPr>
      </xdr:nvSpPr>
      <xdr:spPr>
        <a:xfrm>
          <a:off x="8267700" y="2543175"/>
          <a:ext cx="266700" cy="19907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26</xdr:row>
      <xdr:rowOff>152400</xdr:rowOff>
    </xdr:from>
    <xdr:to>
      <xdr:col>13</xdr:col>
      <xdr:colOff>561975</xdr:colOff>
      <xdr:row>28</xdr:row>
      <xdr:rowOff>133350</xdr:rowOff>
    </xdr:to>
    <xdr:sp>
      <xdr:nvSpPr>
        <xdr:cNvPr id="2" name="Textfeld 10"/>
        <xdr:cNvSpPr txBox="1">
          <a:spLocks noChangeArrowheads="1"/>
        </xdr:cNvSpPr>
      </xdr:nvSpPr>
      <xdr:spPr>
        <a:xfrm>
          <a:off x="8677275" y="3314700"/>
          <a:ext cx="1266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Angaben ohne An- und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Abreisetag!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3</xdr:row>
      <xdr:rowOff>247650</xdr:rowOff>
    </xdr:from>
    <xdr:to>
      <xdr:col>2</xdr:col>
      <xdr:colOff>390525</xdr:colOff>
      <xdr:row>3</xdr:row>
      <xdr:rowOff>352425</xdr:rowOff>
    </xdr:to>
    <xdr:sp>
      <xdr:nvSpPr>
        <xdr:cNvPr id="1" name="Rechteck 1"/>
        <xdr:cNvSpPr>
          <a:spLocks/>
        </xdr:cNvSpPr>
      </xdr:nvSpPr>
      <xdr:spPr>
        <a:xfrm>
          <a:off x="1104900" y="771525"/>
          <a:ext cx="76200" cy="1047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</xdr:row>
      <xdr:rowOff>238125</xdr:rowOff>
    </xdr:from>
    <xdr:to>
      <xdr:col>1</xdr:col>
      <xdr:colOff>600075</xdr:colOff>
      <xdr:row>4</xdr:row>
      <xdr:rowOff>19050</xdr:rowOff>
    </xdr:to>
    <xdr:sp>
      <xdr:nvSpPr>
        <xdr:cNvPr id="2" name="Rechteck 2"/>
        <xdr:cNvSpPr>
          <a:spLocks/>
        </xdr:cNvSpPr>
      </xdr:nvSpPr>
      <xdr:spPr>
        <a:xfrm>
          <a:off x="619125" y="762000"/>
          <a:ext cx="104775" cy="1428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2:S133"/>
  <sheetViews>
    <sheetView showGridLines="0" showRowColHeaders="0" showZeros="0" tabSelected="1" zoomScalePageLayoutView="0" workbookViewId="0" topLeftCell="A1">
      <selection activeCell="C6" sqref="C6:L6"/>
    </sheetView>
  </sheetViews>
  <sheetFormatPr defaultColWidth="11.421875" defaultRowHeight="19.5" customHeight="1"/>
  <cols>
    <col min="1" max="1" width="2.57421875" style="8" customWidth="1"/>
    <col min="2" max="2" width="35.28125" style="8" customWidth="1"/>
    <col min="3" max="3" width="4.421875" style="8" customWidth="1"/>
    <col min="4" max="4" width="10.28125" style="8" customWidth="1"/>
    <col min="5" max="5" width="7.7109375" style="8" customWidth="1"/>
    <col min="6" max="6" width="8.7109375" style="8" customWidth="1"/>
    <col min="7" max="7" width="4.140625" style="8" customWidth="1"/>
    <col min="8" max="8" width="9.421875" style="8" customWidth="1"/>
    <col min="9" max="9" width="3.7109375" style="14" customWidth="1"/>
    <col min="10" max="10" width="9.7109375" style="8" customWidth="1"/>
    <col min="11" max="12" width="8.7109375" style="14" customWidth="1"/>
    <col min="13" max="16384" width="11.421875" style="8" customWidth="1"/>
  </cols>
  <sheetData>
    <row r="1" ht="14.25" customHeight="1"/>
    <row r="2" spans="2:12" s="7" customFormat="1" ht="19.5" customHeight="1">
      <c r="B2" s="64" t="s">
        <v>509</v>
      </c>
      <c r="C2" s="64"/>
      <c r="D2" s="65"/>
      <c r="E2" s="65"/>
      <c r="F2" s="65"/>
      <c r="G2" s="65"/>
      <c r="H2" s="65"/>
      <c r="I2" s="65"/>
      <c r="J2" s="64"/>
      <c r="K2" s="65"/>
      <c r="L2" s="65"/>
    </row>
    <row r="3" spans="2:12" s="7" customFormat="1" ht="9.75" customHeight="1">
      <c r="B3" s="64"/>
      <c r="C3" s="64"/>
      <c r="D3" s="65"/>
      <c r="E3" s="65"/>
      <c r="F3" s="65"/>
      <c r="G3" s="65"/>
      <c r="H3" s="65"/>
      <c r="I3" s="65"/>
      <c r="J3" s="64"/>
      <c r="K3" s="65"/>
      <c r="L3" s="65"/>
    </row>
    <row r="4" spans="2:12" s="7" customFormat="1" ht="19.5" customHeight="1">
      <c r="B4" s="268" t="s">
        <v>386</v>
      </c>
      <c r="C4" s="67"/>
      <c r="D4" s="68"/>
      <c r="E4" s="68"/>
      <c r="F4" s="68"/>
      <c r="G4" s="68"/>
      <c r="H4" s="68"/>
      <c r="I4" s="68"/>
      <c r="J4" s="67"/>
      <c r="K4" s="68"/>
      <c r="L4" s="68"/>
    </row>
    <row r="5" spans="2:12" s="7" customFormat="1" ht="19.5" customHeight="1">
      <c r="B5" s="252"/>
      <c r="C5" s="252"/>
      <c r="D5" s="253"/>
      <c r="E5" s="253"/>
      <c r="F5" s="253"/>
      <c r="G5" s="253"/>
      <c r="H5" s="253"/>
      <c r="I5" s="253"/>
      <c r="J5" s="252"/>
      <c r="K5" s="253"/>
      <c r="L5" s="253"/>
    </row>
    <row r="6" spans="2:12" s="7" customFormat="1" ht="19.5" customHeight="1">
      <c r="B6" s="254" t="s">
        <v>382</v>
      </c>
      <c r="C6" s="544" t="s">
        <v>46</v>
      </c>
      <c r="D6" s="545"/>
      <c r="E6" s="545"/>
      <c r="F6" s="545"/>
      <c r="G6" s="545"/>
      <c r="H6" s="545"/>
      <c r="I6" s="545"/>
      <c r="J6" s="545"/>
      <c r="K6" s="545"/>
      <c r="L6" s="546"/>
    </row>
    <row r="7" spans="2:12" s="7" customFormat="1" ht="7.5" customHeight="1">
      <c r="B7" s="252"/>
      <c r="C7" s="252"/>
      <c r="D7" s="253"/>
      <c r="E7" s="253"/>
      <c r="F7" s="253"/>
      <c r="G7" s="253"/>
      <c r="H7" s="253"/>
      <c r="I7" s="253"/>
      <c r="J7" s="252"/>
      <c r="K7" s="253"/>
      <c r="L7" s="253"/>
    </row>
    <row r="8" spans="2:13" ht="19.5" customHeight="1">
      <c r="B8" s="254" t="s">
        <v>383</v>
      </c>
      <c r="C8" s="544" t="s">
        <v>47</v>
      </c>
      <c r="D8" s="545"/>
      <c r="E8" s="545"/>
      <c r="F8" s="545"/>
      <c r="G8" s="545"/>
      <c r="H8" s="545"/>
      <c r="I8" s="545"/>
      <c r="J8" s="545"/>
      <c r="K8" s="545"/>
      <c r="L8" s="546"/>
      <c r="M8" s="16"/>
    </row>
    <row r="9" spans="2:13" ht="7.5" customHeight="1">
      <c r="B9" s="254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16"/>
    </row>
    <row r="10" spans="2:13" ht="19.5" customHeight="1">
      <c r="B10" s="254" t="s">
        <v>21</v>
      </c>
      <c r="C10" s="544">
        <v>14711</v>
      </c>
      <c r="D10" s="545"/>
      <c r="E10" s="545"/>
      <c r="F10" s="545"/>
      <c r="G10" s="545"/>
      <c r="H10" s="545"/>
      <c r="I10" s="545"/>
      <c r="J10" s="545"/>
      <c r="K10" s="545"/>
      <c r="L10" s="546"/>
      <c r="M10" s="16"/>
    </row>
    <row r="11" spans="2:13" ht="7.5" customHeight="1">
      <c r="B11" s="254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16"/>
    </row>
    <row r="12" spans="2:13" ht="19.5" customHeight="1">
      <c r="B12" s="254" t="s">
        <v>22</v>
      </c>
      <c r="C12" s="544" t="s">
        <v>77</v>
      </c>
      <c r="D12" s="545"/>
      <c r="E12" s="545"/>
      <c r="F12" s="545"/>
      <c r="G12" s="545"/>
      <c r="H12" s="545"/>
      <c r="I12" s="545"/>
      <c r="J12" s="545"/>
      <c r="K12" s="545"/>
      <c r="L12" s="546"/>
      <c r="M12" s="16"/>
    </row>
    <row r="13" spans="2:13" ht="7.5" customHeight="1">
      <c r="B13" s="254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16"/>
    </row>
    <row r="14" spans="2:19" ht="19.5" customHeight="1">
      <c r="B14" s="254" t="s">
        <v>23</v>
      </c>
      <c r="C14" s="544">
        <v>14</v>
      </c>
      <c r="D14" s="545"/>
      <c r="E14" s="545"/>
      <c r="F14" s="545"/>
      <c r="G14" s="545"/>
      <c r="H14" s="545"/>
      <c r="I14" s="545"/>
      <c r="J14" s="545"/>
      <c r="K14" s="545"/>
      <c r="L14" s="546"/>
      <c r="M14" s="16"/>
      <c r="P14" s="16"/>
      <c r="Q14" s="16"/>
      <c r="R14" s="16"/>
      <c r="S14" s="16"/>
    </row>
    <row r="15" spans="2:13" ht="43.5" customHeight="1">
      <c r="B15" s="256" t="s">
        <v>66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16"/>
    </row>
    <row r="16" spans="2:16" ht="19.5" customHeight="1">
      <c r="B16" s="254" t="s">
        <v>24</v>
      </c>
      <c r="C16" s="544" t="s">
        <v>48</v>
      </c>
      <c r="D16" s="545"/>
      <c r="E16" s="545"/>
      <c r="F16" s="545"/>
      <c r="G16" s="545"/>
      <c r="H16" s="545"/>
      <c r="I16" s="545"/>
      <c r="J16" s="545"/>
      <c r="K16" s="545"/>
      <c r="L16" s="546"/>
      <c r="M16" s="16"/>
      <c r="P16" s="20"/>
    </row>
    <row r="17" spans="2:13" ht="7.5" customHeight="1">
      <c r="B17" s="254"/>
      <c r="C17" s="257"/>
      <c r="D17" s="257"/>
      <c r="E17" s="257"/>
      <c r="F17" s="257"/>
      <c r="G17" s="258"/>
      <c r="H17" s="258"/>
      <c r="I17" s="258"/>
      <c r="J17" s="257"/>
      <c r="K17" s="257"/>
      <c r="L17" s="257"/>
      <c r="M17" s="16"/>
    </row>
    <row r="18" spans="2:13" ht="19.5" customHeight="1">
      <c r="B18" s="254" t="s">
        <v>378</v>
      </c>
      <c r="C18" s="544" t="s">
        <v>49</v>
      </c>
      <c r="D18" s="545"/>
      <c r="E18" s="545"/>
      <c r="F18" s="545"/>
      <c r="G18" s="545"/>
      <c r="H18" s="545"/>
      <c r="I18" s="545"/>
      <c r="J18" s="545"/>
      <c r="K18" s="545"/>
      <c r="L18" s="546"/>
      <c r="M18" s="16"/>
    </row>
    <row r="19" spans="2:13" ht="52.5" customHeight="1">
      <c r="B19" s="256" t="s">
        <v>67</v>
      </c>
      <c r="C19" s="257"/>
      <c r="D19" s="257"/>
      <c r="E19" s="257"/>
      <c r="F19" s="257"/>
      <c r="G19" s="258"/>
      <c r="H19" s="258"/>
      <c r="I19" s="258"/>
      <c r="J19" s="257"/>
      <c r="K19" s="257"/>
      <c r="L19" s="257"/>
      <c r="M19" s="16"/>
    </row>
    <row r="20" spans="2:13" ht="19.5" customHeight="1">
      <c r="B20" s="254" t="s">
        <v>379</v>
      </c>
      <c r="C20" s="553" t="s">
        <v>385</v>
      </c>
      <c r="D20" s="554"/>
      <c r="E20" s="554"/>
      <c r="F20" s="554"/>
      <c r="G20" s="554"/>
      <c r="H20" s="554"/>
      <c r="I20" s="554"/>
      <c r="J20" s="554"/>
      <c r="K20" s="554"/>
      <c r="L20" s="555"/>
      <c r="M20" s="16"/>
    </row>
    <row r="21" spans="2:13" ht="7.5" customHeight="1">
      <c r="B21" s="254"/>
      <c r="C21" s="257"/>
      <c r="D21" s="257"/>
      <c r="E21" s="257"/>
      <c r="F21" s="257"/>
      <c r="G21" s="258"/>
      <c r="H21" s="258"/>
      <c r="I21" s="258"/>
      <c r="J21" s="257"/>
      <c r="K21" s="257"/>
      <c r="L21" s="257"/>
      <c r="M21" s="16"/>
    </row>
    <row r="22" spans="2:13" ht="19.5" customHeight="1">
      <c r="B22" s="254" t="s">
        <v>380</v>
      </c>
      <c r="C22" s="553" t="s">
        <v>384</v>
      </c>
      <c r="D22" s="554"/>
      <c r="E22" s="554"/>
      <c r="F22" s="554"/>
      <c r="G22" s="554"/>
      <c r="H22" s="554"/>
      <c r="I22" s="554"/>
      <c r="J22" s="554"/>
      <c r="K22" s="554"/>
      <c r="L22" s="555"/>
      <c r="M22" s="16"/>
    </row>
    <row r="23" spans="2:13" ht="7.5" customHeight="1">
      <c r="B23" s="254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16"/>
    </row>
    <row r="24" spans="2:13" ht="32.25" customHeight="1">
      <c r="B24" s="256" t="s">
        <v>25</v>
      </c>
      <c r="C24" s="255"/>
      <c r="D24" s="255"/>
      <c r="E24" s="255"/>
      <c r="F24" s="255"/>
      <c r="G24" s="259"/>
      <c r="H24" s="259"/>
      <c r="I24" s="259"/>
      <c r="J24" s="255"/>
      <c r="K24" s="255"/>
      <c r="L24" s="255"/>
      <c r="M24" s="16"/>
    </row>
    <row r="25" spans="2:17" s="9" customFormat="1" ht="19.5" customHeight="1">
      <c r="B25" s="254" t="s">
        <v>69</v>
      </c>
      <c r="C25" s="547"/>
      <c r="D25" s="548"/>
      <c r="E25" s="548"/>
      <c r="F25" s="548"/>
      <c r="G25" s="548"/>
      <c r="H25" s="548"/>
      <c r="I25" s="548"/>
      <c r="J25" s="548"/>
      <c r="K25" s="549"/>
      <c r="L25" s="260">
        <f>IF($Q$26=1,0.3,IF($Q$26=2,0.2,IF($Q$26=3,0.2,0)))</f>
        <v>0.3</v>
      </c>
      <c r="M25" s="17"/>
      <c r="N25" s="37"/>
      <c r="Q25" s="38"/>
    </row>
    <row r="26" spans="2:17" s="9" customFormat="1" ht="19.5" customHeight="1">
      <c r="B26" s="254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17"/>
      <c r="Q26" s="40">
        <v>1</v>
      </c>
    </row>
    <row r="27" spans="2:13" s="9" customFormat="1" ht="19.5" customHeight="1" hidden="1">
      <c r="B27" s="254" t="s">
        <v>39</v>
      </c>
      <c r="C27" s="262"/>
      <c r="D27" s="263"/>
      <c r="E27" s="263"/>
      <c r="F27" s="263"/>
      <c r="G27" s="263"/>
      <c r="H27" s="263"/>
      <c r="I27" s="263"/>
      <c r="J27" s="263"/>
      <c r="K27" s="263"/>
      <c r="L27" s="264">
        <f>IF($Q$26=1,0.02,IF($Q$26=2,0.01,IF($Q$26=3,0,0)))</f>
        <v>0.02</v>
      </c>
      <c r="M27" s="17"/>
    </row>
    <row r="28" spans="2:13" s="9" customFormat="1" ht="19.5" customHeight="1" hidden="1">
      <c r="B28" s="265"/>
      <c r="C28" s="266"/>
      <c r="D28" s="266"/>
      <c r="E28" s="266"/>
      <c r="F28" s="266"/>
      <c r="G28" s="266"/>
      <c r="H28" s="266"/>
      <c r="I28" s="266"/>
      <c r="J28" s="266"/>
      <c r="K28" s="266"/>
      <c r="L28" s="267"/>
      <c r="M28" s="17"/>
    </row>
    <row r="29" spans="2:14" s="9" customFormat="1" ht="19.5" customHeight="1" hidden="1">
      <c r="B29" s="254" t="s">
        <v>54</v>
      </c>
      <c r="C29" s="550"/>
      <c r="D29" s="551"/>
      <c r="E29" s="551"/>
      <c r="F29" s="551"/>
      <c r="G29" s="551"/>
      <c r="H29" s="551"/>
      <c r="I29" s="551"/>
      <c r="J29" s="551"/>
      <c r="K29" s="551"/>
      <c r="L29" s="552"/>
      <c r="M29" s="17"/>
      <c r="N29" s="37"/>
    </row>
    <row r="30" spans="2:12" s="12" customFormat="1" ht="19.5" customHeight="1">
      <c r="B30" s="11"/>
      <c r="C30" s="48"/>
      <c r="D30" s="49"/>
      <c r="E30" s="49"/>
      <c r="F30" s="50"/>
      <c r="G30" s="49"/>
      <c r="H30" s="49"/>
      <c r="I30" s="13"/>
      <c r="J30" s="13"/>
      <c r="K30" s="11"/>
      <c r="L30" s="11"/>
    </row>
    <row r="31" spans="2:14" s="12" customFormat="1" ht="19.5" customHeight="1">
      <c r="B31" s="11"/>
      <c r="C31" s="48"/>
      <c r="D31" s="49"/>
      <c r="E31" s="49"/>
      <c r="F31" s="50"/>
      <c r="G31" s="49"/>
      <c r="H31" s="49"/>
      <c r="I31" s="13"/>
      <c r="J31" s="13"/>
      <c r="K31" s="11"/>
      <c r="L31" s="11"/>
      <c r="N31" s="39"/>
    </row>
    <row r="32" spans="2:12" ht="19.5" customHeight="1">
      <c r="B32" s="51"/>
      <c r="C32" s="51"/>
      <c r="D32" s="51"/>
      <c r="E32" s="51"/>
      <c r="F32" s="51"/>
      <c r="G32" s="51"/>
      <c r="H32" s="51"/>
      <c r="I32" s="52"/>
      <c r="J32" s="51"/>
      <c r="K32" s="52"/>
      <c r="L32" s="52"/>
    </row>
    <row r="33" spans="2:14" ht="19.5" customHeight="1">
      <c r="B33" s="51"/>
      <c r="C33" s="51"/>
      <c r="D33" s="51"/>
      <c r="E33" s="51"/>
      <c r="F33" s="51"/>
      <c r="G33" s="51"/>
      <c r="H33" s="51"/>
      <c r="I33" s="52"/>
      <c r="J33" s="51"/>
      <c r="K33" s="52"/>
      <c r="L33" s="52"/>
      <c r="N33" s="20"/>
    </row>
    <row r="34" spans="2:12" ht="19.5" customHeight="1">
      <c r="B34" s="51"/>
      <c r="C34" s="51"/>
      <c r="D34" s="51"/>
      <c r="E34" s="51"/>
      <c r="F34" s="51"/>
      <c r="G34" s="51"/>
      <c r="H34" s="51"/>
      <c r="I34" s="52"/>
      <c r="J34" s="51"/>
      <c r="K34" s="52"/>
      <c r="L34" s="52"/>
    </row>
    <row r="35" spans="2:12" ht="19.5" customHeight="1">
      <c r="B35" s="51"/>
      <c r="C35" s="51"/>
      <c r="D35" s="51"/>
      <c r="E35" s="51"/>
      <c r="F35" s="51"/>
      <c r="G35" s="51"/>
      <c r="H35" s="51"/>
      <c r="I35" s="52"/>
      <c r="J35" s="51"/>
      <c r="K35" s="52"/>
      <c r="L35" s="52"/>
    </row>
    <row r="36" spans="2:12" ht="19.5" customHeight="1">
      <c r="B36" s="51"/>
      <c r="C36" s="51"/>
      <c r="D36" s="51"/>
      <c r="E36" s="51"/>
      <c r="F36" s="51"/>
      <c r="G36" s="51"/>
      <c r="H36" s="51"/>
      <c r="I36" s="52"/>
      <c r="J36" s="51"/>
      <c r="K36" s="52"/>
      <c r="L36" s="52"/>
    </row>
    <row r="37" spans="2:12" ht="19.5" customHeight="1">
      <c r="B37" s="51"/>
      <c r="C37" s="51"/>
      <c r="D37" s="51"/>
      <c r="E37" s="51"/>
      <c r="F37" s="51"/>
      <c r="G37" s="51"/>
      <c r="H37" s="51"/>
      <c r="I37" s="52"/>
      <c r="J37" s="51"/>
      <c r="K37" s="52"/>
      <c r="L37" s="52"/>
    </row>
    <row r="38" spans="2:12" ht="19.5" customHeight="1">
      <c r="B38" s="51"/>
      <c r="C38" s="51"/>
      <c r="D38" s="51"/>
      <c r="E38" s="51"/>
      <c r="F38" s="51"/>
      <c r="G38" s="51"/>
      <c r="H38" s="51"/>
      <c r="I38" s="52"/>
      <c r="J38" s="51"/>
      <c r="K38" s="52"/>
      <c r="L38" s="52"/>
    </row>
    <row r="39" spans="2:12" ht="19.5" customHeight="1">
      <c r="B39" s="51"/>
      <c r="C39" s="51"/>
      <c r="D39" s="51"/>
      <c r="E39" s="51"/>
      <c r="F39" s="51"/>
      <c r="G39" s="51"/>
      <c r="H39" s="51"/>
      <c r="I39" s="52"/>
      <c r="J39" s="51"/>
      <c r="K39" s="52"/>
      <c r="L39" s="52"/>
    </row>
    <row r="40" spans="2:12" ht="19.5" customHeight="1">
      <c r="B40" s="51"/>
      <c r="C40" s="51"/>
      <c r="D40" s="51"/>
      <c r="E40" s="51"/>
      <c r="F40" s="51"/>
      <c r="G40" s="51"/>
      <c r="H40" s="51"/>
      <c r="I40" s="52"/>
      <c r="J40" s="51"/>
      <c r="K40" s="52"/>
      <c r="L40" s="52"/>
    </row>
    <row r="65" spans="2:18" s="14" customFormat="1" ht="19.5" customHeight="1">
      <c r="B65" s="8"/>
      <c r="C65" s="8"/>
      <c r="D65" s="8"/>
      <c r="E65" s="8"/>
      <c r="F65" s="8"/>
      <c r="G65" s="8"/>
      <c r="H65" s="15"/>
      <c r="J65" s="15"/>
      <c r="M65" s="8"/>
      <c r="N65" s="8"/>
      <c r="O65" s="8"/>
      <c r="P65" s="8"/>
      <c r="Q65" s="8"/>
      <c r="R65" s="8"/>
    </row>
    <row r="66" spans="2:18" s="14" customFormat="1" ht="19.5" customHeight="1">
      <c r="B66" s="8"/>
      <c r="C66" s="8"/>
      <c r="D66" s="8"/>
      <c r="E66" s="8"/>
      <c r="F66" s="8"/>
      <c r="G66" s="8"/>
      <c r="H66" s="15"/>
      <c r="J66" s="15"/>
      <c r="M66" s="8"/>
      <c r="N66" s="8"/>
      <c r="O66" s="8"/>
      <c r="P66" s="8"/>
      <c r="Q66" s="8"/>
      <c r="R66" s="8"/>
    </row>
    <row r="67" spans="2:18" s="14" customFormat="1" ht="19.5" customHeight="1">
      <c r="B67" s="8"/>
      <c r="C67" s="8"/>
      <c r="D67" s="8"/>
      <c r="E67" s="8"/>
      <c r="F67" s="8"/>
      <c r="G67" s="8"/>
      <c r="H67" s="15"/>
      <c r="J67" s="15"/>
      <c r="M67" s="8"/>
      <c r="N67" s="8"/>
      <c r="O67" s="8"/>
      <c r="P67" s="8"/>
      <c r="Q67" s="8"/>
      <c r="R67" s="8"/>
    </row>
    <row r="68" spans="2:18" s="14" customFormat="1" ht="19.5" customHeight="1">
      <c r="B68" s="8"/>
      <c r="C68" s="8"/>
      <c r="D68" s="8"/>
      <c r="E68" s="8"/>
      <c r="F68" s="8"/>
      <c r="G68" s="8"/>
      <c r="H68" s="15"/>
      <c r="J68" s="15"/>
      <c r="M68" s="8"/>
      <c r="N68" s="8"/>
      <c r="O68" s="8"/>
      <c r="P68" s="8"/>
      <c r="Q68" s="8"/>
      <c r="R68" s="8"/>
    </row>
    <row r="69" spans="2:18" s="14" customFormat="1" ht="19.5" customHeight="1">
      <c r="B69" s="8"/>
      <c r="C69" s="8"/>
      <c r="D69" s="8"/>
      <c r="E69" s="8"/>
      <c r="F69" s="8"/>
      <c r="G69" s="8"/>
      <c r="H69" s="15"/>
      <c r="J69" s="15"/>
      <c r="M69" s="8"/>
      <c r="N69" s="8"/>
      <c r="O69" s="8"/>
      <c r="P69" s="8"/>
      <c r="Q69" s="8"/>
      <c r="R69" s="8"/>
    </row>
    <row r="70" spans="2:18" s="14" customFormat="1" ht="19.5" customHeight="1">
      <c r="B70" s="8"/>
      <c r="C70" s="8"/>
      <c r="D70" s="8"/>
      <c r="E70" s="8"/>
      <c r="F70" s="8"/>
      <c r="G70" s="8"/>
      <c r="H70" s="15"/>
      <c r="J70" s="15"/>
      <c r="M70" s="8"/>
      <c r="N70" s="8"/>
      <c r="O70" s="8"/>
      <c r="P70" s="8"/>
      <c r="Q70" s="8"/>
      <c r="R70" s="8"/>
    </row>
    <row r="71" spans="2:18" s="14" customFormat="1" ht="19.5" customHeight="1">
      <c r="B71" s="8"/>
      <c r="C71" s="8"/>
      <c r="D71" s="8"/>
      <c r="E71" s="8"/>
      <c r="F71" s="8"/>
      <c r="G71" s="8"/>
      <c r="H71" s="15"/>
      <c r="J71" s="15"/>
      <c r="M71" s="8"/>
      <c r="N71" s="8"/>
      <c r="O71" s="8"/>
      <c r="P71" s="8"/>
      <c r="Q71" s="8"/>
      <c r="R71" s="8"/>
    </row>
    <row r="72" spans="2:18" s="14" customFormat="1" ht="19.5" customHeight="1">
      <c r="B72" s="8"/>
      <c r="C72" s="8"/>
      <c r="D72" s="8"/>
      <c r="E72" s="8"/>
      <c r="F72" s="8"/>
      <c r="G72" s="8"/>
      <c r="H72" s="15"/>
      <c r="J72" s="15"/>
      <c r="M72" s="8"/>
      <c r="N72" s="8"/>
      <c r="O72" s="8"/>
      <c r="P72" s="8"/>
      <c r="Q72" s="8"/>
      <c r="R72" s="8"/>
    </row>
    <row r="73" spans="2:18" s="14" customFormat="1" ht="19.5" customHeight="1">
      <c r="B73" s="8"/>
      <c r="C73" s="8"/>
      <c r="D73" s="8"/>
      <c r="E73" s="8"/>
      <c r="F73" s="8"/>
      <c r="G73" s="8"/>
      <c r="H73" s="15"/>
      <c r="J73" s="15"/>
      <c r="M73" s="8"/>
      <c r="N73" s="8"/>
      <c r="O73" s="8"/>
      <c r="P73" s="8"/>
      <c r="Q73" s="8"/>
      <c r="R73" s="8"/>
    </row>
    <row r="74" spans="2:18" s="14" customFormat="1" ht="19.5" customHeight="1">
      <c r="B74" s="8"/>
      <c r="C74" s="8"/>
      <c r="D74" s="8"/>
      <c r="E74" s="8"/>
      <c r="F74" s="8"/>
      <c r="G74" s="8"/>
      <c r="H74" s="15"/>
      <c r="J74" s="15"/>
      <c r="M74" s="8"/>
      <c r="N74" s="8"/>
      <c r="O74" s="8"/>
      <c r="P74" s="8"/>
      <c r="Q74" s="8"/>
      <c r="R74" s="8"/>
    </row>
    <row r="75" spans="2:18" s="14" customFormat="1" ht="19.5" customHeight="1">
      <c r="B75" s="8"/>
      <c r="C75" s="8"/>
      <c r="D75" s="8"/>
      <c r="E75" s="8"/>
      <c r="F75" s="8"/>
      <c r="G75" s="8"/>
      <c r="H75" s="15"/>
      <c r="J75" s="15"/>
      <c r="M75" s="8"/>
      <c r="N75" s="8"/>
      <c r="O75" s="8"/>
      <c r="P75" s="8"/>
      <c r="Q75" s="8"/>
      <c r="R75" s="8"/>
    </row>
    <row r="76" spans="2:18" s="14" customFormat="1" ht="19.5" customHeight="1">
      <c r="B76" s="8"/>
      <c r="C76" s="8"/>
      <c r="D76" s="8"/>
      <c r="E76" s="8"/>
      <c r="F76" s="8"/>
      <c r="G76" s="8"/>
      <c r="H76" s="15"/>
      <c r="J76" s="15"/>
      <c r="M76" s="8"/>
      <c r="N76" s="8"/>
      <c r="O76" s="8"/>
      <c r="P76" s="8"/>
      <c r="Q76" s="8"/>
      <c r="R76" s="8"/>
    </row>
    <row r="77" spans="2:18" s="14" customFormat="1" ht="19.5" customHeight="1">
      <c r="B77" s="8"/>
      <c r="C77" s="8"/>
      <c r="D77" s="8"/>
      <c r="E77" s="8"/>
      <c r="F77" s="8"/>
      <c r="G77" s="8"/>
      <c r="H77" s="15"/>
      <c r="J77" s="15"/>
      <c r="M77" s="8"/>
      <c r="N77" s="8"/>
      <c r="O77" s="8"/>
      <c r="P77" s="8"/>
      <c r="Q77" s="8"/>
      <c r="R77" s="8"/>
    </row>
    <row r="78" spans="2:18" s="14" customFormat="1" ht="19.5" customHeight="1">
      <c r="B78" s="8"/>
      <c r="C78" s="8"/>
      <c r="D78" s="8"/>
      <c r="E78" s="8"/>
      <c r="F78" s="8"/>
      <c r="G78" s="8"/>
      <c r="H78" s="15"/>
      <c r="J78" s="15"/>
      <c r="M78" s="8"/>
      <c r="N78" s="8"/>
      <c r="O78" s="8"/>
      <c r="P78" s="8"/>
      <c r="Q78" s="8"/>
      <c r="R78" s="8"/>
    </row>
    <row r="79" spans="2:18" s="14" customFormat="1" ht="19.5" customHeight="1">
      <c r="B79" s="8"/>
      <c r="C79" s="8"/>
      <c r="D79" s="8"/>
      <c r="E79" s="8"/>
      <c r="F79" s="8"/>
      <c r="G79" s="8"/>
      <c r="H79" s="15"/>
      <c r="J79" s="15"/>
      <c r="M79" s="8"/>
      <c r="N79" s="8"/>
      <c r="O79" s="8"/>
      <c r="P79" s="8"/>
      <c r="Q79" s="8"/>
      <c r="R79" s="8"/>
    </row>
    <row r="80" spans="2:18" s="14" customFormat="1" ht="19.5" customHeight="1">
      <c r="B80" s="8"/>
      <c r="C80" s="8"/>
      <c r="D80" s="8"/>
      <c r="E80" s="8"/>
      <c r="F80" s="8"/>
      <c r="G80" s="8"/>
      <c r="H80" s="15"/>
      <c r="J80" s="15"/>
      <c r="M80" s="8"/>
      <c r="N80" s="8"/>
      <c r="O80" s="8"/>
      <c r="P80" s="8"/>
      <c r="Q80" s="8"/>
      <c r="R80" s="8"/>
    </row>
    <row r="81" spans="2:18" s="14" customFormat="1" ht="19.5" customHeight="1">
      <c r="B81" s="8"/>
      <c r="C81" s="8"/>
      <c r="D81" s="8"/>
      <c r="E81" s="8"/>
      <c r="F81" s="8"/>
      <c r="G81" s="8"/>
      <c r="H81" s="15"/>
      <c r="J81" s="15"/>
      <c r="M81" s="8"/>
      <c r="N81" s="8"/>
      <c r="O81" s="8"/>
      <c r="P81" s="8"/>
      <c r="Q81" s="8"/>
      <c r="R81" s="8"/>
    </row>
    <row r="82" spans="2:18" s="14" customFormat="1" ht="19.5" customHeight="1">
      <c r="B82" s="8"/>
      <c r="C82" s="8"/>
      <c r="D82" s="8"/>
      <c r="E82" s="8"/>
      <c r="F82" s="8"/>
      <c r="G82" s="8"/>
      <c r="H82" s="15"/>
      <c r="J82" s="15"/>
      <c r="M82" s="8"/>
      <c r="N82" s="8"/>
      <c r="O82" s="8"/>
      <c r="P82" s="8"/>
      <c r="Q82" s="8"/>
      <c r="R82" s="8"/>
    </row>
    <row r="83" spans="2:18" s="14" customFormat="1" ht="19.5" customHeight="1">
      <c r="B83" s="8"/>
      <c r="C83" s="8"/>
      <c r="D83" s="8"/>
      <c r="E83" s="8"/>
      <c r="F83" s="8"/>
      <c r="G83" s="8"/>
      <c r="H83" s="15"/>
      <c r="J83" s="15"/>
      <c r="M83" s="8"/>
      <c r="N83" s="8"/>
      <c r="O83" s="8"/>
      <c r="P83" s="8"/>
      <c r="Q83" s="8"/>
      <c r="R83" s="8"/>
    </row>
    <row r="84" spans="2:18" s="14" customFormat="1" ht="19.5" customHeight="1">
      <c r="B84" s="8"/>
      <c r="C84" s="8"/>
      <c r="D84" s="8"/>
      <c r="E84" s="8"/>
      <c r="F84" s="8"/>
      <c r="G84" s="8"/>
      <c r="H84" s="15"/>
      <c r="J84" s="15"/>
      <c r="M84" s="8"/>
      <c r="N84" s="8"/>
      <c r="O84" s="8"/>
      <c r="P84" s="8"/>
      <c r="Q84" s="8"/>
      <c r="R84" s="8"/>
    </row>
    <row r="85" spans="2:18" s="14" customFormat="1" ht="19.5" customHeight="1">
      <c r="B85" s="8"/>
      <c r="C85" s="8"/>
      <c r="D85" s="8"/>
      <c r="E85" s="8"/>
      <c r="F85" s="8"/>
      <c r="G85" s="8"/>
      <c r="H85" s="15"/>
      <c r="J85" s="15"/>
      <c r="M85" s="8"/>
      <c r="N85" s="8"/>
      <c r="O85" s="8"/>
      <c r="P85" s="8"/>
      <c r="Q85" s="8"/>
      <c r="R85" s="8"/>
    </row>
    <row r="86" spans="2:18" s="14" customFormat="1" ht="19.5" customHeight="1">
      <c r="B86" s="8"/>
      <c r="C86" s="8"/>
      <c r="D86" s="8"/>
      <c r="E86" s="8"/>
      <c r="F86" s="8"/>
      <c r="G86" s="8"/>
      <c r="H86" s="15"/>
      <c r="J86" s="15"/>
      <c r="M86" s="8"/>
      <c r="N86" s="8"/>
      <c r="O86" s="8"/>
      <c r="P86" s="8"/>
      <c r="Q86" s="8"/>
      <c r="R86" s="8"/>
    </row>
    <row r="87" spans="2:18" s="14" customFormat="1" ht="19.5" customHeight="1">
      <c r="B87" s="8"/>
      <c r="C87" s="8"/>
      <c r="D87" s="8"/>
      <c r="E87" s="8"/>
      <c r="F87" s="8"/>
      <c r="G87" s="8"/>
      <c r="H87" s="15"/>
      <c r="J87" s="15"/>
      <c r="M87" s="8"/>
      <c r="N87" s="8"/>
      <c r="O87" s="8"/>
      <c r="P87" s="8"/>
      <c r="Q87" s="8"/>
      <c r="R87" s="8"/>
    </row>
    <row r="88" spans="2:18" s="14" customFormat="1" ht="19.5" customHeight="1">
      <c r="B88" s="8"/>
      <c r="C88" s="8"/>
      <c r="D88" s="8"/>
      <c r="E88" s="8"/>
      <c r="F88" s="8"/>
      <c r="G88" s="8"/>
      <c r="H88" s="15"/>
      <c r="J88" s="15"/>
      <c r="M88" s="8"/>
      <c r="N88" s="8"/>
      <c r="O88" s="8"/>
      <c r="P88" s="8"/>
      <c r="Q88" s="8"/>
      <c r="R88" s="8"/>
    </row>
    <row r="89" spans="2:18" s="14" customFormat="1" ht="19.5" customHeight="1">
      <c r="B89" s="8"/>
      <c r="C89" s="8"/>
      <c r="D89" s="8"/>
      <c r="E89" s="8"/>
      <c r="F89" s="8"/>
      <c r="G89" s="8"/>
      <c r="H89" s="15"/>
      <c r="J89" s="15"/>
      <c r="M89" s="8"/>
      <c r="N89" s="8"/>
      <c r="O89" s="8"/>
      <c r="P89" s="8"/>
      <c r="Q89" s="8"/>
      <c r="R89" s="8"/>
    </row>
    <row r="90" spans="2:18" s="14" customFormat="1" ht="19.5" customHeight="1">
      <c r="B90" s="8"/>
      <c r="C90" s="8"/>
      <c r="D90" s="8"/>
      <c r="E90" s="8"/>
      <c r="F90" s="8"/>
      <c r="G90" s="8"/>
      <c r="H90" s="15"/>
      <c r="J90" s="15"/>
      <c r="M90" s="8"/>
      <c r="N90" s="8"/>
      <c r="O90" s="8"/>
      <c r="P90" s="8"/>
      <c r="Q90" s="8"/>
      <c r="R90" s="8"/>
    </row>
    <row r="91" spans="2:18" s="14" customFormat="1" ht="19.5" customHeight="1">
      <c r="B91" s="8"/>
      <c r="C91" s="8"/>
      <c r="D91" s="8"/>
      <c r="E91" s="8"/>
      <c r="F91" s="8"/>
      <c r="G91" s="8"/>
      <c r="H91" s="15"/>
      <c r="J91" s="15"/>
      <c r="M91" s="8"/>
      <c r="N91" s="8"/>
      <c r="O91" s="8"/>
      <c r="P91" s="8"/>
      <c r="Q91" s="8"/>
      <c r="R91" s="8"/>
    </row>
    <row r="92" spans="2:18" s="14" customFormat="1" ht="19.5" customHeight="1">
      <c r="B92" s="8"/>
      <c r="C92" s="8"/>
      <c r="D92" s="8"/>
      <c r="E92" s="8"/>
      <c r="F92" s="8"/>
      <c r="G92" s="8"/>
      <c r="H92" s="15"/>
      <c r="J92" s="15"/>
      <c r="M92" s="8"/>
      <c r="N92" s="8"/>
      <c r="O92" s="8"/>
      <c r="P92" s="8"/>
      <c r="Q92" s="8"/>
      <c r="R92" s="8"/>
    </row>
    <row r="93" spans="2:18" s="14" customFormat="1" ht="19.5" customHeight="1">
      <c r="B93" s="8"/>
      <c r="C93" s="8"/>
      <c r="D93" s="8"/>
      <c r="E93" s="8"/>
      <c r="F93" s="8"/>
      <c r="G93" s="8"/>
      <c r="H93" s="15"/>
      <c r="J93" s="15"/>
      <c r="M93" s="8"/>
      <c r="N93" s="8"/>
      <c r="O93" s="8"/>
      <c r="P93" s="8"/>
      <c r="Q93" s="8"/>
      <c r="R93" s="8"/>
    </row>
    <row r="94" spans="2:18" s="14" customFormat="1" ht="19.5" customHeight="1">
      <c r="B94" s="8"/>
      <c r="C94" s="8"/>
      <c r="D94" s="8"/>
      <c r="E94" s="8"/>
      <c r="F94" s="8"/>
      <c r="G94" s="8"/>
      <c r="H94" s="15"/>
      <c r="J94" s="15"/>
      <c r="M94" s="8"/>
      <c r="N94" s="8"/>
      <c r="O94" s="8"/>
      <c r="P94" s="8"/>
      <c r="Q94" s="8"/>
      <c r="R94" s="8"/>
    </row>
    <row r="95" spans="2:18" s="14" customFormat="1" ht="19.5" customHeight="1">
      <c r="B95" s="8"/>
      <c r="C95" s="8"/>
      <c r="D95" s="8"/>
      <c r="E95" s="8"/>
      <c r="F95" s="8"/>
      <c r="G95" s="8"/>
      <c r="H95" s="15"/>
      <c r="J95" s="15"/>
      <c r="M95" s="8"/>
      <c r="N95" s="8"/>
      <c r="O95" s="8"/>
      <c r="P95" s="8"/>
      <c r="Q95" s="8"/>
      <c r="R95" s="8"/>
    </row>
    <row r="125" spans="2:6" ht="19.5" customHeight="1">
      <c r="B125" s="62"/>
      <c r="C125" s="62"/>
      <c r="D125" s="62"/>
      <c r="E125" s="62"/>
      <c r="F125" s="62"/>
    </row>
    <row r="126" spans="2:6" ht="19.5" customHeight="1">
      <c r="B126" s="62" t="s">
        <v>381</v>
      </c>
      <c r="C126" s="62">
        <v>0.3</v>
      </c>
      <c r="D126" s="62"/>
      <c r="E126" s="62"/>
      <c r="F126" s="62"/>
    </row>
    <row r="127" spans="2:6" ht="19.5" customHeight="1">
      <c r="B127" s="62" t="s">
        <v>62</v>
      </c>
      <c r="C127" s="62">
        <v>0.13</v>
      </c>
      <c r="D127" s="62"/>
      <c r="E127" s="62"/>
      <c r="F127" s="62"/>
    </row>
    <row r="128" spans="2:6" ht="19.5" customHeight="1">
      <c r="B128" s="62" t="s">
        <v>63</v>
      </c>
      <c r="C128" s="62">
        <v>0.8</v>
      </c>
      <c r="D128" s="62"/>
      <c r="E128" s="62"/>
      <c r="F128" s="62"/>
    </row>
    <row r="129" spans="2:6" ht="19.5" customHeight="1">
      <c r="B129" s="62" t="s">
        <v>61</v>
      </c>
      <c r="C129" s="62">
        <v>0.5</v>
      </c>
      <c r="D129" s="62"/>
      <c r="E129" s="62"/>
      <c r="F129" s="62"/>
    </row>
    <row r="130" spans="2:6" ht="19.5" customHeight="1">
      <c r="B130" s="62"/>
      <c r="C130" s="62"/>
      <c r="D130" s="62"/>
      <c r="E130" s="62"/>
      <c r="F130" s="62"/>
    </row>
    <row r="131" spans="2:6" ht="19.5" customHeight="1">
      <c r="B131" s="62"/>
      <c r="C131" s="62"/>
      <c r="D131" s="62"/>
      <c r="E131" s="62"/>
      <c r="F131" s="62"/>
    </row>
    <row r="132" spans="2:6" ht="19.5" customHeight="1">
      <c r="B132" s="62"/>
      <c r="C132" s="62"/>
      <c r="D132" s="62"/>
      <c r="E132" s="62"/>
      <c r="F132" s="62"/>
    </row>
    <row r="133" spans="2:6" ht="19.5" customHeight="1">
      <c r="B133" s="62"/>
      <c r="C133" s="62"/>
      <c r="D133" s="62"/>
      <c r="E133" s="62"/>
      <c r="F133" s="62"/>
    </row>
  </sheetData>
  <sheetProtection password="C811" sheet="1" selectLockedCells="1"/>
  <mergeCells count="11">
    <mergeCell ref="C16:L16"/>
    <mergeCell ref="C6:L6"/>
    <mergeCell ref="C10:L10"/>
    <mergeCell ref="C14:L14"/>
    <mergeCell ref="C12:L12"/>
    <mergeCell ref="C25:K25"/>
    <mergeCell ref="C29:L29"/>
    <mergeCell ref="C18:L18"/>
    <mergeCell ref="C20:L20"/>
    <mergeCell ref="C22:L22"/>
    <mergeCell ref="C8:L8"/>
  </mergeCells>
  <printOptions horizontalCentered="1"/>
  <pageMargins left="0.6299212598425197" right="0.2755905511811024" top="0.5118110236220472" bottom="0.2755905511811024" header="0.5118110236220472" footer="0.3937007874015748"/>
  <pageSetup cellComments="asDisplayed" fitToHeight="0" fitToWidth="1" horizontalDpi="600" verticalDpi="600" orientation="portrait" paperSize="9" scale="71" r:id="rId3"/>
  <rowBreaks count="1" manualBreakCount="1">
    <brk id="31" max="255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U35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315" customWidth="1"/>
    <col min="2" max="2" width="39.28125" style="318" customWidth="1"/>
    <col min="3" max="3" width="10.00390625" style="317" hidden="1" customWidth="1"/>
    <col min="4" max="4" width="17.7109375" style="320" customWidth="1"/>
    <col min="5" max="7" width="17.7109375" style="317" customWidth="1"/>
    <col min="8" max="16384" width="11.421875" style="315" customWidth="1"/>
  </cols>
  <sheetData>
    <row r="1" spans="2:3" ht="18">
      <c r="B1" s="6"/>
      <c r="C1" s="6"/>
    </row>
    <row r="2" spans="2:11" ht="18.75">
      <c r="B2" s="268" t="s">
        <v>26</v>
      </c>
      <c r="C2" s="268"/>
      <c r="D2" s="321"/>
      <c r="E2" s="322"/>
      <c r="F2" s="322"/>
      <c r="G2" s="322"/>
      <c r="H2" s="440"/>
      <c r="I2" s="440"/>
      <c r="J2" s="440"/>
      <c r="K2" s="440"/>
    </row>
    <row r="3" spans="1:3" ht="15" thickBot="1">
      <c r="A3" s="435"/>
      <c r="C3" s="318"/>
    </row>
    <row r="4" spans="1:8" ht="45.75" customHeight="1">
      <c r="A4" s="435" t="e">
        <f>+A4A4:A52</f>
        <v>#NAME?</v>
      </c>
      <c r="B4" s="611" t="s">
        <v>78</v>
      </c>
      <c r="C4" s="611" t="s">
        <v>424</v>
      </c>
      <c r="D4" s="614" t="s">
        <v>79</v>
      </c>
      <c r="E4" s="615"/>
      <c r="F4" s="616"/>
      <c r="G4" s="617" t="s">
        <v>80</v>
      </c>
      <c r="H4" s="323"/>
    </row>
    <row r="5" spans="1:9" ht="36">
      <c r="A5" s="435"/>
      <c r="B5" s="612"/>
      <c r="C5" s="612"/>
      <c r="D5" s="324" t="s">
        <v>81</v>
      </c>
      <c r="E5" s="324" t="s">
        <v>82</v>
      </c>
      <c r="F5" s="324" t="s">
        <v>83</v>
      </c>
      <c r="G5" s="618"/>
      <c r="H5" s="323"/>
      <c r="I5" s="323"/>
    </row>
    <row r="6" spans="1:9" ht="15.75" thickBot="1">
      <c r="A6" s="435"/>
      <c r="B6" s="613"/>
      <c r="C6" s="325" t="s">
        <v>84</v>
      </c>
      <c r="D6" s="325" t="s">
        <v>85</v>
      </c>
      <c r="E6" s="325" t="s">
        <v>85</v>
      </c>
      <c r="F6" s="325" t="s">
        <v>85</v>
      </c>
      <c r="G6" s="326" t="s">
        <v>85</v>
      </c>
      <c r="H6" s="323"/>
      <c r="I6" s="323"/>
    </row>
    <row r="7" spans="1:7" s="359" customFormat="1" ht="15">
      <c r="A7" s="360">
        <v>1</v>
      </c>
      <c r="B7" s="432" t="s">
        <v>260</v>
      </c>
      <c r="C7" s="433"/>
      <c r="D7" s="433">
        <v>0</v>
      </c>
      <c r="E7" s="433">
        <v>0</v>
      </c>
      <c r="F7" s="433">
        <v>0</v>
      </c>
      <c r="G7" s="434">
        <v>0</v>
      </c>
    </row>
    <row r="8" spans="1:15" ht="15">
      <c r="A8" s="360">
        <v>2</v>
      </c>
      <c r="B8" s="428" t="s">
        <v>265</v>
      </c>
      <c r="C8" s="429">
        <v>25</v>
      </c>
      <c r="D8" s="429">
        <v>24</v>
      </c>
      <c r="E8" s="430">
        <v>12</v>
      </c>
      <c r="F8" s="430">
        <f>E8</f>
        <v>12</v>
      </c>
      <c r="G8" s="431">
        <v>20</v>
      </c>
      <c r="H8" s="524"/>
      <c r="I8" s="524"/>
      <c r="J8" s="465"/>
      <c r="K8" s="465"/>
      <c r="L8" s="465"/>
      <c r="M8" s="465"/>
      <c r="N8" s="465"/>
      <c r="O8" s="465"/>
    </row>
    <row r="9" spans="1:21" ht="15">
      <c r="A9" s="360">
        <v>3</v>
      </c>
      <c r="B9" s="327" t="s">
        <v>86</v>
      </c>
      <c r="C9" s="328">
        <v>25</v>
      </c>
      <c r="D9" s="328">
        <v>30</v>
      </c>
      <c r="E9" s="329">
        <v>20</v>
      </c>
      <c r="F9" s="430">
        <f aca="true" t="shared" si="0" ref="F9:F72">E9</f>
        <v>20</v>
      </c>
      <c r="G9" s="330">
        <v>95</v>
      </c>
      <c r="H9" s="524"/>
      <c r="I9" s="464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</row>
    <row r="10" spans="1:21" ht="15">
      <c r="A10" s="360">
        <v>4</v>
      </c>
      <c r="B10" s="331" t="s">
        <v>87</v>
      </c>
      <c r="C10" s="332">
        <v>33</v>
      </c>
      <c r="D10" s="333">
        <v>41</v>
      </c>
      <c r="E10" s="334">
        <v>28</v>
      </c>
      <c r="F10" s="430">
        <f t="shared" si="0"/>
        <v>28</v>
      </c>
      <c r="G10" s="332">
        <v>125</v>
      </c>
      <c r="H10" s="524"/>
      <c r="I10" s="524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</row>
    <row r="11" spans="1:15" ht="15">
      <c r="A11" s="360">
        <v>5</v>
      </c>
      <c r="B11" s="331" t="s">
        <v>88</v>
      </c>
      <c r="C11" s="332">
        <v>25</v>
      </c>
      <c r="D11" s="333">
        <v>27</v>
      </c>
      <c r="E11" s="334">
        <v>18</v>
      </c>
      <c r="F11" s="430">
        <f t="shared" si="0"/>
        <v>18</v>
      </c>
      <c r="G11" s="332">
        <v>86</v>
      </c>
      <c r="H11" s="524"/>
      <c r="I11" s="464"/>
      <c r="J11" s="465"/>
      <c r="K11" s="465"/>
      <c r="L11" s="465"/>
      <c r="M11" s="465"/>
      <c r="N11" s="465"/>
      <c r="O11" s="465"/>
    </row>
    <row r="12" spans="1:15" ht="15">
      <c r="A12" s="360">
        <v>6</v>
      </c>
      <c r="B12" s="331" t="s">
        <v>89</v>
      </c>
      <c r="C12" s="332">
        <v>41</v>
      </c>
      <c r="D12" s="333">
        <v>36</v>
      </c>
      <c r="E12" s="334">
        <v>24</v>
      </c>
      <c r="F12" s="430">
        <f t="shared" si="0"/>
        <v>24</v>
      </c>
      <c r="G12" s="332">
        <v>166</v>
      </c>
      <c r="H12" s="524"/>
      <c r="I12" s="464"/>
      <c r="J12" s="465"/>
      <c r="K12" s="465"/>
      <c r="L12" s="465"/>
      <c r="M12" s="465"/>
      <c r="N12" s="465"/>
      <c r="O12" s="465"/>
    </row>
    <row r="13" spans="1:15" ht="15">
      <c r="A13" s="360">
        <v>7</v>
      </c>
      <c r="B13" s="331" t="s">
        <v>90</v>
      </c>
      <c r="C13" s="332">
        <v>19</v>
      </c>
      <c r="D13" s="333">
        <v>29</v>
      </c>
      <c r="E13" s="334">
        <v>20</v>
      </c>
      <c r="F13" s="430">
        <f t="shared" si="0"/>
        <v>20</v>
      </c>
      <c r="G13" s="332">
        <v>113</v>
      </c>
      <c r="H13" s="524"/>
      <c r="I13" s="464"/>
      <c r="J13" s="465"/>
      <c r="K13" s="465"/>
      <c r="L13" s="465"/>
      <c r="M13" s="465"/>
      <c r="N13" s="465"/>
      <c r="O13" s="465"/>
    </row>
    <row r="14" spans="1:15" ht="15">
      <c r="A14" s="360">
        <v>8</v>
      </c>
      <c r="B14" s="331" t="s">
        <v>91</v>
      </c>
      <c r="C14" s="332">
        <v>32</v>
      </c>
      <c r="D14" s="333">
        <v>51</v>
      </c>
      <c r="E14" s="334">
        <v>34</v>
      </c>
      <c r="F14" s="430">
        <f t="shared" si="0"/>
        <v>34</v>
      </c>
      <c r="G14" s="332">
        <v>173</v>
      </c>
      <c r="H14" s="524"/>
      <c r="I14" s="464"/>
      <c r="J14" s="465"/>
      <c r="K14" s="465"/>
      <c r="L14" s="465"/>
      <c r="M14" s="465"/>
      <c r="N14" s="465"/>
      <c r="O14" s="465"/>
    </row>
    <row r="15" spans="1:15" ht="15">
      <c r="A15" s="360">
        <v>9</v>
      </c>
      <c r="B15" s="331" t="s">
        <v>92</v>
      </c>
      <c r="C15" s="332">
        <v>26</v>
      </c>
      <c r="D15" s="333">
        <v>34</v>
      </c>
      <c r="E15" s="334">
        <v>23</v>
      </c>
      <c r="F15" s="430">
        <f t="shared" si="0"/>
        <v>23</v>
      </c>
      <c r="G15" s="332">
        <v>45</v>
      </c>
      <c r="H15" s="524"/>
      <c r="I15" s="464"/>
      <c r="J15" s="465"/>
      <c r="K15" s="465"/>
      <c r="L15" s="465"/>
      <c r="M15" s="465"/>
      <c r="N15" s="465"/>
      <c r="O15" s="465"/>
    </row>
    <row r="16" spans="1:15" ht="15">
      <c r="A16" s="360">
        <v>10</v>
      </c>
      <c r="B16" s="331" t="s">
        <v>93</v>
      </c>
      <c r="C16" s="332">
        <v>64</v>
      </c>
      <c r="D16" s="333">
        <v>77</v>
      </c>
      <c r="E16" s="334">
        <v>52</v>
      </c>
      <c r="F16" s="430">
        <f t="shared" si="0"/>
        <v>52</v>
      </c>
      <c r="G16" s="332">
        <v>265</v>
      </c>
      <c r="H16" s="524"/>
      <c r="I16" s="464"/>
      <c r="J16" s="465"/>
      <c r="K16" s="465"/>
      <c r="L16" s="465"/>
      <c r="M16" s="465"/>
      <c r="N16" s="465"/>
      <c r="O16" s="465"/>
    </row>
    <row r="17" spans="1:15" ht="15">
      <c r="A17" s="360">
        <v>11</v>
      </c>
      <c r="B17" s="331" t="s">
        <v>94</v>
      </c>
      <c r="C17" s="332">
        <v>44</v>
      </c>
      <c r="D17" s="333">
        <v>53</v>
      </c>
      <c r="E17" s="334">
        <v>36</v>
      </c>
      <c r="F17" s="430">
        <f t="shared" si="0"/>
        <v>36</v>
      </c>
      <c r="G17" s="332">
        <v>117</v>
      </c>
      <c r="H17" s="524"/>
      <c r="I17" s="464"/>
      <c r="J17" s="465"/>
      <c r="K17" s="465"/>
      <c r="L17" s="465"/>
      <c r="M17" s="465"/>
      <c r="N17" s="465"/>
      <c r="O17" s="465"/>
    </row>
    <row r="18" spans="1:15" ht="15">
      <c r="A18" s="360">
        <v>12</v>
      </c>
      <c r="B18" s="331" t="s">
        <v>95</v>
      </c>
      <c r="C18" s="332">
        <v>30</v>
      </c>
      <c r="D18" s="333">
        <v>34</v>
      </c>
      <c r="E18" s="334">
        <v>23</v>
      </c>
      <c r="F18" s="430">
        <f t="shared" si="0"/>
        <v>23</v>
      </c>
      <c r="G18" s="332">
        <v>144</v>
      </c>
      <c r="H18" s="524"/>
      <c r="I18" s="464"/>
      <c r="J18" s="465"/>
      <c r="K18" s="465"/>
      <c r="L18" s="465"/>
      <c r="M18" s="465"/>
      <c r="N18" s="465"/>
      <c r="O18" s="465"/>
    </row>
    <row r="19" spans="1:15" ht="15">
      <c r="A19" s="360">
        <v>13</v>
      </c>
      <c r="B19" s="331" t="s">
        <v>96</v>
      </c>
      <c r="C19" s="332">
        <v>20</v>
      </c>
      <c r="D19" s="333">
        <v>23</v>
      </c>
      <c r="E19" s="334">
        <v>16</v>
      </c>
      <c r="F19" s="430">
        <f t="shared" si="0"/>
        <v>16</v>
      </c>
      <c r="G19" s="332">
        <v>63</v>
      </c>
      <c r="H19" s="524"/>
      <c r="I19" s="464"/>
      <c r="J19" s="465"/>
      <c r="K19" s="465"/>
      <c r="L19" s="465"/>
      <c r="M19" s="465"/>
      <c r="N19" s="465"/>
      <c r="O19" s="465"/>
    </row>
    <row r="20" spans="1:15" ht="15">
      <c r="A20" s="360">
        <v>14</v>
      </c>
      <c r="B20" s="331" t="s">
        <v>97</v>
      </c>
      <c r="C20" s="332">
        <v>33</v>
      </c>
      <c r="D20" s="333">
        <v>30</v>
      </c>
      <c r="E20" s="334">
        <v>20</v>
      </c>
      <c r="F20" s="430">
        <f t="shared" si="0"/>
        <v>20</v>
      </c>
      <c r="G20" s="332">
        <v>72</v>
      </c>
      <c r="H20" s="524"/>
      <c r="I20" s="464"/>
      <c r="J20" s="465"/>
      <c r="K20" s="465"/>
      <c r="L20" s="465"/>
      <c r="M20" s="465"/>
      <c r="N20" s="465"/>
      <c r="O20" s="465"/>
    </row>
    <row r="21" spans="1:15" s="316" customFormat="1" ht="15">
      <c r="A21" s="360">
        <v>15</v>
      </c>
      <c r="B21" s="331" t="s">
        <v>443</v>
      </c>
      <c r="C21" s="332">
        <v>48</v>
      </c>
      <c r="D21" s="333">
        <v>51</v>
      </c>
      <c r="E21" s="334">
        <v>34</v>
      </c>
      <c r="F21" s="430">
        <f t="shared" si="0"/>
        <v>34</v>
      </c>
      <c r="G21" s="332">
        <v>158</v>
      </c>
      <c r="H21" s="524"/>
      <c r="I21" s="464"/>
      <c r="J21" s="537"/>
      <c r="K21" s="537"/>
      <c r="L21" s="537"/>
      <c r="M21" s="537"/>
      <c r="N21" s="537"/>
      <c r="O21" s="537"/>
    </row>
    <row r="22" spans="1:15" ht="15">
      <c r="A22" s="360">
        <v>16</v>
      </c>
      <c r="B22" s="331" t="s">
        <v>444</v>
      </c>
      <c r="C22" s="332">
        <v>49</v>
      </c>
      <c r="D22" s="333">
        <v>68</v>
      </c>
      <c r="E22" s="334">
        <v>45</v>
      </c>
      <c r="F22" s="430">
        <f t="shared" si="0"/>
        <v>45</v>
      </c>
      <c r="G22" s="332">
        <v>184</v>
      </c>
      <c r="H22" s="524"/>
      <c r="I22" s="464"/>
      <c r="J22" s="465"/>
      <c r="K22" s="465"/>
      <c r="L22" s="465"/>
      <c r="M22" s="465"/>
      <c r="N22" s="465"/>
      <c r="O22" s="465"/>
    </row>
    <row r="23" spans="1:15" ht="15">
      <c r="A23" s="360">
        <v>17</v>
      </c>
      <c r="B23" s="331" t="s">
        <v>445</v>
      </c>
      <c r="C23" s="332">
        <v>46</v>
      </c>
      <c r="D23" s="333">
        <v>51</v>
      </c>
      <c r="E23" s="334">
        <v>34</v>
      </c>
      <c r="F23" s="430">
        <f t="shared" si="0"/>
        <v>34</v>
      </c>
      <c r="G23" s="332">
        <v>158</v>
      </c>
      <c r="H23" s="524"/>
      <c r="I23" s="464"/>
      <c r="J23" s="465"/>
      <c r="K23" s="465"/>
      <c r="L23" s="465"/>
      <c r="M23" s="465"/>
      <c r="N23" s="465"/>
      <c r="O23" s="465"/>
    </row>
    <row r="24" spans="1:15" ht="15">
      <c r="A24" s="360">
        <v>18</v>
      </c>
      <c r="B24" s="331" t="s">
        <v>99</v>
      </c>
      <c r="C24" s="332">
        <v>30</v>
      </c>
      <c r="D24" s="333">
        <v>45</v>
      </c>
      <c r="E24" s="334">
        <v>30</v>
      </c>
      <c r="F24" s="430">
        <f t="shared" si="0"/>
        <v>30</v>
      </c>
      <c r="G24" s="332">
        <v>180</v>
      </c>
      <c r="H24" s="524"/>
      <c r="I24" s="464"/>
      <c r="J24" s="465"/>
      <c r="K24" s="465"/>
      <c r="L24" s="465"/>
      <c r="M24" s="465"/>
      <c r="N24" s="465"/>
      <c r="O24" s="465"/>
    </row>
    <row r="25" spans="1:15" ht="15">
      <c r="A25" s="360">
        <v>19</v>
      </c>
      <c r="B25" s="331" t="s">
        <v>100</v>
      </c>
      <c r="C25" s="332">
        <v>25</v>
      </c>
      <c r="D25" s="333">
        <v>30</v>
      </c>
      <c r="E25" s="334">
        <v>20</v>
      </c>
      <c r="F25" s="430">
        <f t="shared" si="0"/>
        <v>20</v>
      </c>
      <c r="G25" s="332">
        <v>111</v>
      </c>
      <c r="H25" s="524"/>
      <c r="I25" s="464"/>
      <c r="J25" s="465"/>
      <c r="K25" s="465"/>
      <c r="L25" s="465"/>
      <c r="M25" s="465"/>
      <c r="N25" s="465"/>
      <c r="O25" s="465"/>
    </row>
    <row r="26" spans="1:15" ht="15">
      <c r="A26" s="360">
        <v>20</v>
      </c>
      <c r="B26" s="331" t="s">
        <v>101</v>
      </c>
      <c r="C26" s="332">
        <v>48</v>
      </c>
      <c r="D26" s="333">
        <v>58</v>
      </c>
      <c r="E26" s="334">
        <v>39</v>
      </c>
      <c r="F26" s="430">
        <f t="shared" si="0"/>
        <v>39</v>
      </c>
      <c r="G26" s="332">
        <v>179</v>
      </c>
      <c r="H26" s="524"/>
      <c r="I26" s="464"/>
      <c r="J26" s="465"/>
      <c r="K26" s="465"/>
      <c r="L26" s="465"/>
      <c r="M26" s="465"/>
      <c r="N26" s="465"/>
      <c r="O26" s="465"/>
    </row>
    <row r="27" spans="1:15" ht="15">
      <c r="A27" s="360">
        <v>21</v>
      </c>
      <c r="B27" s="331" t="s">
        <v>102</v>
      </c>
      <c r="C27" s="332">
        <v>34</v>
      </c>
      <c r="D27" s="333">
        <v>42</v>
      </c>
      <c r="E27" s="334">
        <v>28</v>
      </c>
      <c r="F27" s="430">
        <f t="shared" si="0"/>
        <v>28</v>
      </c>
      <c r="G27" s="332">
        <v>135</v>
      </c>
      <c r="H27" s="524"/>
      <c r="I27" s="464"/>
      <c r="J27" s="465"/>
      <c r="K27" s="465"/>
      <c r="L27" s="465"/>
      <c r="M27" s="465"/>
      <c r="N27" s="465"/>
      <c r="O27" s="465"/>
    </row>
    <row r="28" spans="1:15" ht="15">
      <c r="A28" s="360">
        <v>22</v>
      </c>
      <c r="B28" s="331" t="s">
        <v>103</v>
      </c>
      <c r="C28" s="332">
        <v>34</v>
      </c>
      <c r="D28" s="333">
        <v>40</v>
      </c>
      <c r="E28" s="334">
        <v>27</v>
      </c>
      <c r="F28" s="430">
        <f t="shared" si="0"/>
        <v>27</v>
      </c>
      <c r="G28" s="332">
        <v>101</v>
      </c>
      <c r="H28" s="524"/>
      <c r="I28" s="464"/>
      <c r="J28" s="465"/>
      <c r="K28" s="465"/>
      <c r="L28" s="465"/>
      <c r="M28" s="465"/>
      <c r="N28" s="465"/>
      <c r="O28" s="465"/>
    </row>
    <row r="29" spans="1:15" ht="15">
      <c r="A29" s="360">
        <v>23</v>
      </c>
      <c r="B29" s="331" t="s">
        <v>104</v>
      </c>
      <c r="C29" s="332">
        <v>20</v>
      </c>
      <c r="D29" s="333">
        <v>30</v>
      </c>
      <c r="E29" s="334">
        <v>20</v>
      </c>
      <c r="F29" s="430">
        <f t="shared" si="0"/>
        <v>20</v>
      </c>
      <c r="G29" s="332">
        <v>93</v>
      </c>
      <c r="H29" s="524"/>
      <c r="I29" s="464"/>
      <c r="J29" s="465"/>
      <c r="K29" s="465"/>
      <c r="L29" s="465"/>
      <c r="M29" s="465"/>
      <c r="N29" s="465"/>
      <c r="O29" s="465"/>
    </row>
    <row r="30" spans="1:15" ht="15">
      <c r="A30" s="360">
        <v>24</v>
      </c>
      <c r="B30" s="331" t="s">
        <v>105</v>
      </c>
      <c r="C30" s="332">
        <v>20</v>
      </c>
      <c r="D30" s="333">
        <v>18</v>
      </c>
      <c r="E30" s="334">
        <v>12</v>
      </c>
      <c r="F30" s="430">
        <f t="shared" si="0"/>
        <v>12</v>
      </c>
      <c r="G30" s="332">
        <v>73</v>
      </c>
      <c r="H30" s="524"/>
      <c r="I30" s="464"/>
      <c r="J30" s="465"/>
      <c r="K30" s="465"/>
      <c r="L30" s="465"/>
      <c r="M30" s="465"/>
      <c r="N30" s="465"/>
      <c r="O30" s="465"/>
    </row>
    <row r="31" spans="1:15" ht="15">
      <c r="A31" s="360">
        <v>25</v>
      </c>
      <c r="B31" s="331" t="s">
        <v>106</v>
      </c>
      <c r="C31" s="332">
        <v>27</v>
      </c>
      <c r="D31" s="333">
        <v>40</v>
      </c>
      <c r="E31" s="334">
        <v>27</v>
      </c>
      <c r="F31" s="430">
        <f t="shared" si="0"/>
        <v>27</v>
      </c>
      <c r="G31" s="332">
        <v>102</v>
      </c>
      <c r="H31" s="524"/>
      <c r="I31" s="464"/>
      <c r="J31" s="465"/>
      <c r="K31" s="465"/>
      <c r="L31" s="465"/>
      <c r="M31" s="465"/>
      <c r="N31" s="465"/>
      <c r="O31" s="465"/>
    </row>
    <row r="32" spans="1:15" ht="15">
      <c r="A32" s="360">
        <v>26</v>
      </c>
      <c r="B32" s="331" t="s">
        <v>446</v>
      </c>
      <c r="C32" s="332">
        <v>44</v>
      </c>
      <c r="D32" s="333">
        <v>57</v>
      </c>
      <c r="E32" s="334">
        <v>38</v>
      </c>
      <c r="F32" s="430">
        <f t="shared" si="0"/>
        <v>38</v>
      </c>
      <c r="G32" s="332">
        <v>127</v>
      </c>
      <c r="H32" s="524"/>
      <c r="I32" s="464"/>
      <c r="J32" s="465"/>
      <c r="K32" s="465"/>
      <c r="L32" s="465"/>
      <c r="M32" s="465"/>
      <c r="N32" s="465"/>
      <c r="O32" s="465"/>
    </row>
    <row r="33" spans="1:15" ht="15">
      <c r="A33" s="360">
        <v>27</v>
      </c>
      <c r="B33" s="331" t="s">
        <v>447</v>
      </c>
      <c r="C33" s="332">
        <v>39</v>
      </c>
      <c r="D33" s="333">
        <v>57</v>
      </c>
      <c r="E33" s="334">
        <v>38</v>
      </c>
      <c r="F33" s="430">
        <f t="shared" si="0"/>
        <v>38</v>
      </c>
      <c r="G33" s="332">
        <v>145</v>
      </c>
      <c r="H33" s="524"/>
      <c r="I33" s="464"/>
      <c r="J33" s="465"/>
      <c r="K33" s="465"/>
      <c r="L33" s="465"/>
      <c r="M33" s="465"/>
      <c r="N33" s="465"/>
      <c r="O33" s="465"/>
    </row>
    <row r="34" spans="1:15" ht="15">
      <c r="A34" s="360">
        <v>28</v>
      </c>
      <c r="B34" s="331" t="s">
        <v>448</v>
      </c>
      <c r="C34" s="332">
        <v>44</v>
      </c>
      <c r="D34" s="333">
        <v>53</v>
      </c>
      <c r="E34" s="334">
        <v>36</v>
      </c>
      <c r="F34" s="430">
        <f t="shared" si="0"/>
        <v>36</v>
      </c>
      <c r="G34" s="332">
        <v>132</v>
      </c>
      <c r="H34" s="524"/>
      <c r="I34" s="464"/>
      <c r="J34" s="465"/>
      <c r="K34" s="465"/>
      <c r="L34" s="465"/>
      <c r="M34" s="465"/>
      <c r="N34" s="465"/>
      <c r="O34" s="465"/>
    </row>
    <row r="35" spans="1:15" ht="15">
      <c r="A35" s="360">
        <v>29</v>
      </c>
      <c r="B35" s="331" t="s">
        <v>449</v>
      </c>
      <c r="C35" s="332">
        <v>45</v>
      </c>
      <c r="D35" s="333">
        <v>51</v>
      </c>
      <c r="E35" s="334">
        <v>34</v>
      </c>
      <c r="F35" s="430">
        <f t="shared" si="0"/>
        <v>34</v>
      </c>
      <c r="G35" s="332">
        <v>84</v>
      </c>
      <c r="H35" s="524"/>
      <c r="I35" s="464"/>
      <c r="J35" s="465"/>
      <c r="K35" s="465"/>
      <c r="L35" s="465"/>
      <c r="M35" s="465"/>
      <c r="N35" s="465"/>
      <c r="O35" s="465"/>
    </row>
    <row r="36" spans="1:15" ht="15">
      <c r="A36" s="360">
        <v>30</v>
      </c>
      <c r="B36" s="331" t="s">
        <v>108</v>
      </c>
      <c r="C36" s="332">
        <v>30</v>
      </c>
      <c r="D36" s="333">
        <v>48</v>
      </c>
      <c r="E36" s="334">
        <v>32</v>
      </c>
      <c r="F36" s="430">
        <f t="shared" si="0"/>
        <v>32</v>
      </c>
      <c r="G36" s="332">
        <v>106</v>
      </c>
      <c r="H36" s="524"/>
      <c r="I36" s="464"/>
      <c r="J36" s="465"/>
      <c r="K36" s="465"/>
      <c r="L36" s="465"/>
      <c r="M36" s="465"/>
      <c r="N36" s="465"/>
      <c r="O36" s="465"/>
    </row>
    <row r="37" spans="1:15" ht="15">
      <c r="A37" s="360">
        <v>31</v>
      </c>
      <c r="B37" s="331" t="s">
        <v>109</v>
      </c>
      <c r="C37" s="332">
        <v>18</v>
      </c>
      <c r="D37" s="333">
        <v>22</v>
      </c>
      <c r="E37" s="334">
        <v>15</v>
      </c>
      <c r="F37" s="430">
        <f t="shared" si="0"/>
        <v>15</v>
      </c>
      <c r="G37" s="332">
        <v>90</v>
      </c>
      <c r="H37" s="524"/>
      <c r="I37" s="464"/>
      <c r="J37" s="465"/>
      <c r="K37" s="465"/>
      <c r="L37" s="465"/>
      <c r="M37" s="465"/>
      <c r="N37" s="465"/>
      <c r="O37" s="465"/>
    </row>
    <row r="38" spans="1:15" ht="15">
      <c r="A38" s="360">
        <v>32</v>
      </c>
      <c r="B38" s="331" t="s">
        <v>110</v>
      </c>
      <c r="C38" s="332">
        <v>30</v>
      </c>
      <c r="D38" s="333">
        <v>44</v>
      </c>
      <c r="E38" s="334">
        <v>29</v>
      </c>
      <c r="F38" s="430">
        <f t="shared" si="0"/>
        <v>29</v>
      </c>
      <c r="G38" s="332">
        <v>84</v>
      </c>
      <c r="H38" s="524"/>
      <c r="I38" s="464"/>
      <c r="J38" s="465"/>
      <c r="K38" s="465"/>
      <c r="L38" s="465"/>
      <c r="M38" s="465"/>
      <c r="N38" s="465"/>
      <c r="O38" s="465"/>
    </row>
    <row r="39" spans="1:15" ht="15">
      <c r="A39" s="360">
        <v>33</v>
      </c>
      <c r="B39" s="331" t="s">
        <v>111</v>
      </c>
      <c r="C39" s="332">
        <v>39</v>
      </c>
      <c r="D39" s="333">
        <v>47</v>
      </c>
      <c r="E39" s="334">
        <v>32</v>
      </c>
      <c r="F39" s="430">
        <f t="shared" si="0"/>
        <v>32</v>
      </c>
      <c r="G39" s="332">
        <v>98</v>
      </c>
      <c r="H39" s="524"/>
      <c r="I39" s="464"/>
      <c r="J39" s="465"/>
      <c r="K39" s="465"/>
      <c r="L39" s="465"/>
      <c r="M39" s="465"/>
      <c r="N39" s="465"/>
      <c r="O39" s="465"/>
    </row>
    <row r="40" spans="1:15" ht="15">
      <c r="A40" s="360">
        <v>34</v>
      </c>
      <c r="B40" s="331" t="s">
        <v>112</v>
      </c>
      <c r="C40" s="332">
        <v>33</v>
      </c>
      <c r="D40" s="333">
        <v>44</v>
      </c>
      <c r="E40" s="334">
        <v>29</v>
      </c>
      <c r="F40" s="430">
        <f t="shared" si="0"/>
        <v>29</v>
      </c>
      <c r="G40" s="332">
        <v>187</v>
      </c>
      <c r="H40" s="524"/>
      <c r="I40" s="464"/>
      <c r="J40" s="465"/>
      <c r="K40" s="538"/>
      <c r="L40" s="465"/>
      <c r="M40" s="465"/>
      <c r="N40" s="465"/>
      <c r="O40" s="465"/>
    </row>
    <row r="41" spans="1:15" ht="15">
      <c r="A41" s="360">
        <v>35</v>
      </c>
      <c r="B41" s="331" t="s">
        <v>450</v>
      </c>
      <c r="C41" s="332">
        <v>26</v>
      </c>
      <c r="D41" s="333">
        <v>35</v>
      </c>
      <c r="E41" s="334">
        <v>24</v>
      </c>
      <c r="F41" s="430">
        <f t="shared" si="0"/>
        <v>24</v>
      </c>
      <c r="G41" s="332">
        <v>105</v>
      </c>
      <c r="H41" s="524"/>
      <c r="I41" s="524"/>
      <c r="J41" s="524"/>
      <c r="K41" s="524"/>
      <c r="L41" s="465"/>
      <c r="M41" s="465"/>
      <c r="N41" s="465"/>
      <c r="O41" s="465"/>
    </row>
    <row r="42" spans="1:15" ht="15">
      <c r="A42" s="360">
        <v>36</v>
      </c>
      <c r="B42" s="331" t="s">
        <v>451</v>
      </c>
      <c r="C42" s="332">
        <v>51</v>
      </c>
      <c r="D42" s="333">
        <v>74</v>
      </c>
      <c r="E42" s="334">
        <v>49</v>
      </c>
      <c r="F42" s="430">
        <f t="shared" si="0"/>
        <v>49</v>
      </c>
      <c r="G42" s="332">
        <v>145</v>
      </c>
      <c r="H42" s="524"/>
      <c r="I42" s="464"/>
      <c r="J42" s="465"/>
      <c r="K42" s="465"/>
      <c r="L42" s="465"/>
      <c r="M42" s="465"/>
      <c r="N42" s="465"/>
      <c r="O42" s="465"/>
    </row>
    <row r="43" spans="1:15" ht="15">
      <c r="A43" s="360">
        <v>37</v>
      </c>
      <c r="B43" s="331" t="s">
        <v>452</v>
      </c>
      <c r="C43" s="332">
        <v>32</v>
      </c>
      <c r="D43" s="333">
        <v>40</v>
      </c>
      <c r="E43" s="334">
        <v>27</v>
      </c>
      <c r="F43" s="430">
        <f t="shared" si="0"/>
        <v>27</v>
      </c>
      <c r="G43" s="332">
        <v>113</v>
      </c>
      <c r="H43" s="524"/>
      <c r="I43" s="464"/>
      <c r="J43" s="465"/>
      <c r="K43" s="465"/>
      <c r="L43" s="465"/>
      <c r="M43" s="465"/>
      <c r="N43" s="465"/>
      <c r="O43" s="465"/>
    </row>
    <row r="44" spans="1:15" ht="15">
      <c r="A44" s="360">
        <v>38</v>
      </c>
      <c r="B44" s="331" t="s">
        <v>453</v>
      </c>
      <c r="C44" s="332">
        <v>35</v>
      </c>
      <c r="D44" s="333">
        <v>46</v>
      </c>
      <c r="E44" s="334">
        <v>31</v>
      </c>
      <c r="F44" s="430">
        <f t="shared" si="0"/>
        <v>31</v>
      </c>
      <c r="G44" s="332">
        <v>142</v>
      </c>
      <c r="H44" s="524"/>
      <c r="I44" s="464"/>
      <c r="J44" s="465"/>
      <c r="K44" s="465"/>
      <c r="L44" s="465"/>
      <c r="M44" s="465"/>
      <c r="N44" s="465"/>
      <c r="O44" s="465"/>
    </row>
    <row r="45" spans="1:15" ht="15">
      <c r="A45" s="360">
        <v>39</v>
      </c>
      <c r="B45" s="331" t="s">
        <v>454</v>
      </c>
      <c r="C45" s="332">
        <v>27</v>
      </c>
      <c r="D45" s="333">
        <v>50</v>
      </c>
      <c r="E45" s="334">
        <v>33</v>
      </c>
      <c r="F45" s="430">
        <f t="shared" si="0"/>
        <v>33</v>
      </c>
      <c r="G45" s="332">
        <v>128</v>
      </c>
      <c r="H45" s="524"/>
      <c r="I45" s="464"/>
      <c r="J45" s="465"/>
      <c r="K45" s="465"/>
      <c r="L45" s="465"/>
      <c r="M45" s="465"/>
      <c r="N45" s="465"/>
      <c r="O45" s="465"/>
    </row>
    <row r="46" spans="1:15" ht="15">
      <c r="A46" s="360">
        <v>40</v>
      </c>
      <c r="B46" s="331" t="s">
        <v>455</v>
      </c>
      <c r="C46" s="332">
        <v>30</v>
      </c>
      <c r="D46" s="333">
        <v>50</v>
      </c>
      <c r="E46" s="334">
        <v>33</v>
      </c>
      <c r="F46" s="430">
        <f t="shared" si="0"/>
        <v>33</v>
      </c>
      <c r="G46" s="332">
        <v>78</v>
      </c>
      <c r="H46" s="524"/>
      <c r="I46" s="464"/>
      <c r="J46" s="465"/>
      <c r="K46" s="465"/>
      <c r="L46" s="465"/>
      <c r="M46" s="465"/>
      <c r="N46" s="465"/>
      <c r="O46" s="465"/>
    </row>
    <row r="47" spans="1:15" ht="15">
      <c r="A47" s="360">
        <v>41</v>
      </c>
      <c r="B47" s="331" t="s">
        <v>114</v>
      </c>
      <c r="C47" s="332">
        <v>45</v>
      </c>
      <c r="D47" s="333">
        <v>46</v>
      </c>
      <c r="E47" s="334">
        <v>31</v>
      </c>
      <c r="F47" s="430">
        <f t="shared" si="0"/>
        <v>31</v>
      </c>
      <c r="G47" s="332">
        <v>93</v>
      </c>
      <c r="H47" s="524"/>
      <c r="I47" s="464"/>
      <c r="J47" s="465"/>
      <c r="K47" s="465"/>
      <c r="L47" s="465"/>
      <c r="M47" s="465"/>
      <c r="N47" s="465"/>
      <c r="O47" s="465"/>
    </row>
    <row r="48" spans="1:15" ht="15">
      <c r="A48" s="360">
        <v>42</v>
      </c>
      <c r="B48" s="331" t="s">
        <v>115</v>
      </c>
      <c r="C48" s="332">
        <v>50</v>
      </c>
      <c r="D48" s="333">
        <v>51</v>
      </c>
      <c r="E48" s="334">
        <v>34</v>
      </c>
      <c r="F48" s="430">
        <f t="shared" si="0"/>
        <v>34</v>
      </c>
      <c r="G48" s="332">
        <v>146</v>
      </c>
      <c r="H48" s="524"/>
      <c r="I48" s="464"/>
      <c r="J48" s="465"/>
      <c r="K48" s="465"/>
      <c r="L48" s="465"/>
      <c r="M48" s="465"/>
      <c r="N48" s="465"/>
      <c r="O48" s="465"/>
    </row>
    <row r="49" spans="1:15" ht="15">
      <c r="A49" s="360">
        <v>43</v>
      </c>
      <c r="B49" s="331" t="s">
        <v>116</v>
      </c>
      <c r="C49" s="332">
        <v>33</v>
      </c>
      <c r="D49" s="333">
        <v>58</v>
      </c>
      <c r="E49" s="334">
        <v>39</v>
      </c>
      <c r="F49" s="430">
        <f t="shared" si="0"/>
        <v>39</v>
      </c>
      <c r="G49" s="332">
        <v>143</v>
      </c>
      <c r="H49" s="524"/>
      <c r="I49" s="464"/>
      <c r="J49" s="465"/>
      <c r="K49" s="465"/>
      <c r="L49" s="465"/>
      <c r="M49" s="465"/>
      <c r="N49" s="465"/>
      <c r="O49" s="465"/>
    </row>
    <row r="50" spans="1:15" ht="15">
      <c r="A50" s="360">
        <v>44</v>
      </c>
      <c r="B50" s="331" t="s">
        <v>117</v>
      </c>
      <c r="C50" s="332">
        <v>25</v>
      </c>
      <c r="D50" s="333">
        <v>40</v>
      </c>
      <c r="E50" s="334">
        <v>27</v>
      </c>
      <c r="F50" s="430">
        <f t="shared" si="0"/>
        <v>27</v>
      </c>
      <c r="G50" s="332">
        <v>94</v>
      </c>
      <c r="H50" s="524"/>
      <c r="I50" s="464"/>
      <c r="J50" s="465"/>
      <c r="K50" s="465"/>
      <c r="L50" s="465"/>
      <c r="M50" s="465"/>
      <c r="N50" s="465"/>
      <c r="O50" s="465"/>
    </row>
    <row r="51" spans="1:15" ht="15">
      <c r="A51" s="360">
        <v>45</v>
      </c>
      <c r="B51" s="331" t="s">
        <v>118</v>
      </c>
      <c r="C51" s="332">
        <v>40</v>
      </c>
      <c r="D51" s="333">
        <v>45</v>
      </c>
      <c r="E51" s="334">
        <v>30</v>
      </c>
      <c r="F51" s="430">
        <f t="shared" si="0"/>
        <v>30</v>
      </c>
      <c r="G51" s="332">
        <v>147</v>
      </c>
      <c r="H51" s="524"/>
      <c r="I51" s="464"/>
      <c r="J51" s="465"/>
      <c r="K51" s="465"/>
      <c r="L51" s="465"/>
      <c r="M51" s="465"/>
      <c r="N51" s="465"/>
      <c r="O51" s="465"/>
    </row>
    <row r="52" spans="1:15" ht="15">
      <c r="A52" s="360">
        <v>46</v>
      </c>
      <c r="B52" s="331" t="s">
        <v>119</v>
      </c>
      <c r="C52" s="332">
        <v>32</v>
      </c>
      <c r="D52" s="333">
        <v>65</v>
      </c>
      <c r="E52" s="334">
        <v>44</v>
      </c>
      <c r="F52" s="430">
        <f t="shared" si="0"/>
        <v>44</v>
      </c>
      <c r="G52" s="332">
        <v>305</v>
      </c>
      <c r="H52" s="524"/>
      <c r="I52" s="464"/>
      <c r="J52" s="465"/>
      <c r="K52" s="465"/>
      <c r="L52" s="465"/>
      <c r="M52" s="465"/>
      <c r="N52" s="465"/>
      <c r="O52" s="465"/>
    </row>
    <row r="53" spans="1:15" ht="15">
      <c r="A53" s="360">
        <v>47</v>
      </c>
      <c r="B53" s="331" t="s">
        <v>120</v>
      </c>
      <c r="C53" s="332">
        <v>38</v>
      </c>
      <c r="D53" s="333">
        <v>44</v>
      </c>
      <c r="E53" s="334">
        <v>29</v>
      </c>
      <c r="F53" s="430">
        <f t="shared" si="0"/>
        <v>29</v>
      </c>
      <c r="G53" s="332">
        <v>97</v>
      </c>
      <c r="H53" s="524"/>
      <c r="I53" s="464"/>
      <c r="J53" s="465"/>
      <c r="K53" s="465"/>
      <c r="L53" s="465"/>
      <c r="M53" s="465"/>
      <c r="N53" s="465"/>
      <c r="O53" s="465"/>
    </row>
    <row r="54" spans="1:15" ht="15">
      <c r="A54" s="360">
        <v>48</v>
      </c>
      <c r="B54" s="331" t="s">
        <v>121</v>
      </c>
      <c r="C54" s="332">
        <v>25</v>
      </c>
      <c r="D54" s="333">
        <v>44</v>
      </c>
      <c r="E54" s="334">
        <v>29</v>
      </c>
      <c r="F54" s="430">
        <f t="shared" si="0"/>
        <v>29</v>
      </c>
      <c r="G54" s="332">
        <v>119</v>
      </c>
      <c r="H54" s="524"/>
      <c r="I54" s="464"/>
      <c r="J54" s="465"/>
      <c r="K54" s="465"/>
      <c r="L54" s="465"/>
      <c r="M54" s="465"/>
      <c r="N54" s="465"/>
      <c r="O54" s="465"/>
    </row>
    <row r="55" spans="1:15" ht="15">
      <c r="A55" s="360">
        <v>49</v>
      </c>
      <c r="B55" s="331" t="s">
        <v>122</v>
      </c>
      <c r="C55" s="332">
        <v>22</v>
      </c>
      <c r="D55" s="333">
        <v>46</v>
      </c>
      <c r="E55" s="334">
        <v>31</v>
      </c>
      <c r="F55" s="430">
        <f t="shared" si="0"/>
        <v>31</v>
      </c>
      <c r="G55" s="332">
        <v>81</v>
      </c>
      <c r="H55" s="524"/>
      <c r="I55" s="464"/>
      <c r="J55" s="465"/>
      <c r="K55" s="465"/>
      <c r="L55" s="465"/>
      <c r="M55" s="465"/>
      <c r="N55" s="465"/>
      <c r="O55" s="465"/>
    </row>
    <row r="56" spans="1:15" ht="15">
      <c r="A56" s="360">
        <v>50</v>
      </c>
      <c r="B56" s="331" t="s">
        <v>123</v>
      </c>
      <c r="C56" s="332">
        <v>26</v>
      </c>
      <c r="D56" s="333">
        <v>27</v>
      </c>
      <c r="E56" s="334">
        <v>18</v>
      </c>
      <c r="F56" s="430">
        <f t="shared" si="0"/>
        <v>18</v>
      </c>
      <c r="G56" s="332">
        <v>71</v>
      </c>
      <c r="H56" s="524"/>
      <c r="I56" s="464"/>
      <c r="J56" s="465"/>
      <c r="K56" s="465"/>
      <c r="L56" s="465"/>
      <c r="M56" s="465"/>
      <c r="N56" s="465"/>
      <c r="O56" s="465"/>
    </row>
    <row r="57" spans="1:15" ht="15">
      <c r="A57" s="360">
        <v>51</v>
      </c>
      <c r="B57" s="331" t="s">
        <v>124</v>
      </c>
      <c r="C57" s="332">
        <v>32</v>
      </c>
      <c r="D57" s="333">
        <v>34</v>
      </c>
      <c r="E57" s="334">
        <v>23</v>
      </c>
      <c r="F57" s="430">
        <f t="shared" si="0"/>
        <v>23</v>
      </c>
      <c r="G57" s="332">
        <v>69</v>
      </c>
      <c r="H57" s="524"/>
      <c r="I57" s="464"/>
      <c r="J57" s="465"/>
      <c r="K57" s="465"/>
      <c r="L57" s="465"/>
      <c r="M57" s="465"/>
      <c r="N57" s="465"/>
      <c r="O57" s="465"/>
    </row>
    <row r="58" spans="1:15" ht="15">
      <c r="A58" s="360">
        <v>52</v>
      </c>
      <c r="B58" s="331" t="s">
        <v>125</v>
      </c>
      <c r="C58" s="332">
        <v>44</v>
      </c>
      <c r="D58" s="333">
        <v>50</v>
      </c>
      <c r="E58" s="334">
        <v>33</v>
      </c>
      <c r="F58" s="430">
        <f t="shared" si="0"/>
        <v>33</v>
      </c>
      <c r="G58" s="332">
        <v>136</v>
      </c>
      <c r="H58" s="524"/>
      <c r="I58" s="464"/>
      <c r="J58" s="465"/>
      <c r="K58" s="465"/>
      <c r="L58" s="465"/>
      <c r="M58" s="465"/>
      <c r="N58" s="465"/>
      <c r="O58" s="465"/>
    </row>
    <row r="59" spans="1:15" ht="15">
      <c r="A59" s="360">
        <v>53</v>
      </c>
      <c r="B59" s="331" t="s">
        <v>456</v>
      </c>
      <c r="C59" s="332">
        <v>42</v>
      </c>
      <c r="D59" s="333">
        <v>53</v>
      </c>
      <c r="E59" s="334">
        <v>36</v>
      </c>
      <c r="F59" s="430">
        <f t="shared" si="0"/>
        <v>36</v>
      </c>
      <c r="G59" s="332">
        <v>115</v>
      </c>
      <c r="H59" s="524"/>
      <c r="I59" s="464"/>
      <c r="J59" s="465"/>
      <c r="K59" s="465"/>
      <c r="L59" s="465"/>
      <c r="M59" s="465"/>
      <c r="N59" s="465"/>
      <c r="O59" s="465"/>
    </row>
    <row r="60" spans="1:15" ht="15">
      <c r="A60" s="360">
        <v>54</v>
      </c>
      <c r="B60" s="519" t="s">
        <v>457</v>
      </c>
      <c r="C60" s="520">
        <v>48</v>
      </c>
      <c r="D60" s="521">
        <v>46</v>
      </c>
      <c r="E60" s="522">
        <v>31</v>
      </c>
      <c r="F60" s="430">
        <f t="shared" si="0"/>
        <v>31</v>
      </c>
      <c r="G60" s="520">
        <v>101</v>
      </c>
      <c r="H60" s="524"/>
      <c r="I60" s="464"/>
      <c r="J60" s="465"/>
      <c r="K60" s="465"/>
      <c r="L60" s="465"/>
      <c r="M60" s="465"/>
      <c r="N60" s="465"/>
      <c r="O60" s="465"/>
    </row>
    <row r="61" spans="1:15" ht="15">
      <c r="A61" s="360">
        <v>55</v>
      </c>
      <c r="B61" s="519" t="s">
        <v>458</v>
      </c>
      <c r="C61" s="520"/>
      <c r="D61" s="521">
        <v>58</v>
      </c>
      <c r="E61" s="522">
        <v>39</v>
      </c>
      <c r="F61" s="430">
        <f t="shared" si="0"/>
        <v>39</v>
      </c>
      <c r="G61" s="520">
        <v>152</v>
      </c>
      <c r="H61" s="524"/>
      <c r="I61" s="464"/>
      <c r="J61" s="465"/>
      <c r="K61" s="465"/>
      <c r="L61" s="465"/>
      <c r="M61" s="465"/>
      <c r="N61" s="465"/>
      <c r="O61" s="465"/>
    </row>
    <row r="62" spans="1:15" ht="15">
      <c r="A62" s="360">
        <v>56</v>
      </c>
      <c r="B62" s="523" t="s">
        <v>459</v>
      </c>
      <c r="C62" s="520"/>
      <c r="D62" s="521">
        <v>58</v>
      </c>
      <c r="E62" s="522">
        <v>39</v>
      </c>
      <c r="F62" s="430">
        <f t="shared" si="0"/>
        <v>39</v>
      </c>
      <c r="G62" s="520">
        <v>152</v>
      </c>
      <c r="H62" s="524"/>
      <c r="I62" s="464"/>
      <c r="J62" s="465"/>
      <c r="K62" s="465"/>
      <c r="L62" s="465"/>
      <c r="M62" s="465"/>
      <c r="N62" s="465"/>
      <c r="O62" s="465"/>
    </row>
    <row r="63" spans="1:15" ht="13.5" customHeight="1">
      <c r="A63" s="360">
        <v>57</v>
      </c>
      <c r="B63" s="523" t="s">
        <v>460</v>
      </c>
      <c r="C63" s="520"/>
      <c r="D63" s="521">
        <v>51</v>
      </c>
      <c r="E63" s="522">
        <v>34</v>
      </c>
      <c r="F63" s="430">
        <f t="shared" si="0"/>
        <v>34</v>
      </c>
      <c r="G63" s="520">
        <v>96</v>
      </c>
      <c r="H63" s="524"/>
      <c r="I63" s="464"/>
      <c r="J63" s="465"/>
      <c r="K63" s="465"/>
      <c r="L63" s="465"/>
      <c r="M63" s="465"/>
      <c r="N63" s="465"/>
      <c r="O63" s="465"/>
    </row>
    <row r="64" spans="1:15" ht="15">
      <c r="A64" s="360">
        <v>58</v>
      </c>
      <c r="B64" s="331" t="s">
        <v>461</v>
      </c>
      <c r="C64" s="332">
        <v>40</v>
      </c>
      <c r="D64" s="333">
        <v>44</v>
      </c>
      <c r="E64" s="334">
        <v>29</v>
      </c>
      <c r="F64" s="430">
        <f t="shared" si="0"/>
        <v>29</v>
      </c>
      <c r="G64" s="332">
        <v>115</v>
      </c>
      <c r="H64" s="524"/>
      <c r="I64" s="464"/>
      <c r="J64" s="465"/>
      <c r="K64" s="465"/>
      <c r="L64" s="465"/>
      <c r="M64" s="465"/>
      <c r="N64" s="465"/>
      <c r="O64" s="465"/>
    </row>
    <row r="65" spans="1:15" ht="15">
      <c r="A65" s="360">
        <v>59</v>
      </c>
      <c r="B65" s="331" t="s">
        <v>127</v>
      </c>
      <c r="C65" s="332">
        <v>36</v>
      </c>
      <c r="D65" s="333">
        <v>62</v>
      </c>
      <c r="E65" s="334">
        <v>41</v>
      </c>
      <c r="F65" s="430">
        <f t="shared" si="0"/>
        <v>41</v>
      </c>
      <c r="G65" s="332">
        <v>278</v>
      </c>
      <c r="H65" s="524"/>
      <c r="I65" s="464"/>
      <c r="J65" s="465"/>
      <c r="K65" s="465"/>
      <c r="L65" s="465"/>
      <c r="M65" s="465"/>
      <c r="N65" s="465"/>
      <c r="O65" s="465"/>
    </row>
    <row r="66" spans="1:15" ht="15">
      <c r="A66" s="360">
        <v>60</v>
      </c>
      <c r="B66" s="331" t="s">
        <v>128</v>
      </c>
      <c r="C66" s="332">
        <v>50</v>
      </c>
      <c r="D66" s="333">
        <v>30</v>
      </c>
      <c r="E66" s="334">
        <v>20</v>
      </c>
      <c r="F66" s="430">
        <f t="shared" si="0"/>
        <v>20</v>
      </c>
      <c r="G66" s="332">
        <v>125</v>
      </c>
      <c r="H66" s="524"/>
      <c r="I66" s="464"/>
      <c r="J66" s="465"/>
      <c r="K66" s="465"/>
      <c r="L66" s="465"/>
      <c r="M66" s="465"/>
      <c r="N66" s="465"/>
      <c r="O66" s="465"/>
    </row>
    <row r="67" spans="1:15" ht="15">
      <c r="A67" s="360">
        <v>61</v>
      </c>
      <c r="B67" s="331" t="s">
        <v>129</v>
      </c>
      <c r="C67" s="332">
        <v>15</v>
      </c>
      <c r="D67" s="333">
        <v>35</v>
      </c>
      <c r="E67" s="334">
        <v>24</v>
      </c>
      <c r="F67" s="430">
        <f t="shared" si="0"/>
        <v>24</v>
      </c>
      <c r="G67" s="332">
        <v>88</v>
      </c>
      <c r="H67" s="524"/>
      <c r="I67" s="464"/>
      <c r="J67" s="465"/>
      <c r="K67" s="465"/>
      <c r="L67" s="465"/>
      <c r="M67" s="465"/>
      <c r="N67" s="465"/>
      <c r="O67" s="465"/>
    </row>
    <row r="68" spans="1:15" ht="15">
      <c r="A68" s="360">
        <v>62</v>
      </c>
      <c r="B68" s="331" t="s">
        <v>130</v>
      </c>
      <c r="C68" s="332">
        <v>25</v>
      </c>
      <c r="D68" s="333">
        <v>46</v>
      </c>
      <c r="E68" s="334">
        <v>31</v>
      </c>
      <c r="F68" s="430">
        <f t="shared" si="0"/>
        <v>31</v>
      </c>
      <c r="G68" s="332">
        <v>174</v>
      </c>
      <c r="H68" s="524"/>
      <c r="I68" s="464"/>
      <c r="J68" s="465"/>
      <c r="K68" s="465"/>
      <c r="L68" s="465"/>
      <c r="M68" s="465"/>
      <c r="N68" s="465"/>
      <c r="O68" s="465"/>
    </row>
    <row r="69" spans="1:15" ht="15">
      <c r="A69" s="360">
        <v>63</v>
      </c>
      <c r="B69" s="331" t="s">
        <v>131</v>
      </c>
      <c r="C69" s="332">
        <v>38</v>
      </c>
      <c r="D69" s="333">
        <v>51</v>
      </c>
      <c r="E69" s="334">
        <v>34</v>
      </c>
      <c r="F69" s="430">
        <f t="shared" si="0"/>
        <v>34</v>
      </c>
      <c r="G69" s="332">
        <v>121</v>
      </c>
      <c r="H69" s="524"/>
      <c r="I69" s="464"/>
      <c r="J69" s="465"/>
      <c r="K69" s="465"/>
      <c r="L69" s="465"/>
      <c r="M69" s="465"/>
      <c r="N69" s="465"/>
      <c r="O69" s="465"/>
    </row>
    <row r="70" spans="1:15" ht="15">
      <c r="A70" s="360">
        <v>64</v>
      </c>
      <c r="B70" s="331" t="s">
        <v>462</v>
      </c>
      <c r="C70" s="332">
        <v>42</v>
      </c>
      <c r="D70" s="333">
        <v>46</v>
      </c>
      <c r="E70" s="334">
        <v>31</v>
      </c>
      <c r="F70" s="430">
        <f t="shared" si="0"/>
        <v>31</v>
      </c>
      <c r="G70" s="332">
        <v>132</v>
      </c>
      <c r="H70" s="524"/>
      <c r="I70" s="464"/>
      <c r="J70" s="465"/>
      <c r="K70" s="465"/>
      <c r="L70" s="465"/>
      <c r="M70" s="465"/>
      <c r="N70" s="465"/>
      <c r="O70" s="465"/>
    </row>
    <row r="71" spans="1:15" ht="15">
      <c r="A71" s="360">
        <v>65</v>
      </c>
      <c r="B71" s="331" t="s">
        <v>463</v>
      </c>
      <c r="C71" s="332">
        <v>47</v>
      </c>
      <c r="D71" s="333">
        <v>36</v>
      </c>
      <c r="E71" s="334">
        <v>24</v>
      </c>
      <c r="F71" s="430">
        <f t="shared" si="0"/>
        <v>24</v>
      </c>
      <c r="G71" s="332">
        <v>89</v>
      </c>
      <c r="H71" s="524"/>
      <c r="I71" s="464"/>
      <c r="J71" s="465"/>
      <c r="K71" s="465"/>
      <c r="L71" s="465"/>
      <c r="M71" s="465"/>
      <c r="N71" s="465"/>
      <c r="O71" s="465"/>
    </row>
    <row r="72" spans="1:15" ht="15">
      <c r="A72" s="360">
        <v>66</v>
      </c>
      <c r="B72" s="331" t="s">
        <v>133</v>
      </c>
      <c r="C72" s="332">
        <v>35</v>
      </c>
      <c r="D72" s="333">
        <v>28</v>
      </c>
      <c r="E72" s="334">
        <v>19</v>
      </c>
      <c r="F72" s="430">
        <f t="shared" si="0"/>
        <v>19</v>
      </c>
      <c r="G72" s="332">
        <v>96</v>
      </c>
      <c r="H72" s="524"/>
      <c r="I72" s="464"/>
      <c r="J72" s="465"/>
      <c r="K72" s="465"/>
      <c r="L72" s="465"/>
      <c r="M72" s="465"/>
      <c r="N72" s="465"/>
      <c r="O72" s="465"/>
    </row>
    <row r="73" spans="1:15" ht="15">
      <c r="A73" s="360">
        <v>67</v>
      </c>
      <c r="B73" s="331" t="s">
        <v>134</v>
      </c>
      <c r="C73" s="332">
        <v>23</v>
      </c>
      <c r="D73" s="333">
        <v>46</v>
      </c>
      <c r="E73" s="334">
        <v>31</v>
      </c>
      <c r="F73" s="430">
        <f aca="true" t="shared" si="1" ref="F73:F136">E73</f>
        <v>31</v>
      </c>
      <c r="G73" s="332">
        <v>118</v>
      </c>
      <c r="H73" s="524"/>
      <c r="I73" s="464"/>
      <c r="J73" s="465"/>
      <c r="K73" s="465"/>
      <c r="L73" s="465"/>
      <c r="M73" s="465"/>
      <c r="N73" s="465"/>
      <c r="O73" s="465"/>
    </row>
    <row r="74" spans="1:15" ht="15">
      <c r="A74" s="360">
        <v>68</v>
      </c>
      <c r="B74" s="331" t="s">
        <v>135</v>
      </c>
      <c r="C74" s="332">
        <v>31</v>
      </c>
      <c r="D74" s="333">
        <v>24</v>
      </c>
      <c r="E74" s="334">
        <v>16</v>
      </c>
      <c r="F74" s="430">
        <f t="shared" si="1"/>
        <v>16</v>
      </c>
      <c r="G74" s="332">
        <v>86</v>
      </c>
      <c r="H74" s="524"/>
      <c r="I74" s="524"/>
      <c r="J74" s="524"/>
      <c r="K74" s="524"/>
      <c r="L74" s="465"/>
      <c r="M74" s="465"/>
      <c r="N74" s="465"/>
      <c r="O74" s="465"/>
    </row>
    <row r="75" spans="1:15" ht="15">
      <c r="A75" s="360">
        <v>69</v>
      </c>
      <c r="B75" s="331" t="s">
        <v>136</v>
      </c>
      <c r="C75" s="332">
        <v>25</v>
      </c>
      <c r="D75" s="333">
        <v>41</v>
      </c>
      <c r="E75" s="334">
        <v>28</v>
      </c>
      <c r="F75" s="430">
        <f t="shared" si="1"/>
        <v>28</v>
      </c>
      <c r="G75" s="332">
        <v>81</v>
      </c>
      <c r="H75" s="524"/>
      <c r="I75" s="464"/>
      <c r="J75" s="465"/>
      <c r="K75" s="465"/>
      <c r="L75" s="465"/>
      <c r="M75" s="465"/>
      <c r="N75" s="465"/>
      <c r="O75" s="465"/>
    </row>
    <row r="76" spans="1:15" ht="15">
      <c r="A76" s="360">
        <v>70</v>
      </c>
      <c r="B76" s="331" t="s">
        <v>137</v>
      </c>
      <c r="C76" s="332">
        <v>34</v>
      </c>
      <c r="D76" s="333">
        <v>58</v>
      </c>
      <c r="E76" s="334">
        <v>39</v>
      </c>
      <c r="F76" s="430">
        <f t="shared" si="1"/>
        <v>39</v>
      </c>
      <c r="G76" s="332">
        <v>130</v>
      </c>
      <c r="H76" s="524"/>
      <c r="I76" s="464"/>
      <c r="J76" s="465"/>
      <c r="K76" s="465"/>
      <c r="L76" s="465"/>
      <c r="M76" s="465"/>
      <c r="N76" s="465"/>
      <c r="O76" s="465"/>
    </row>
    <row r="77" spans="1:15" ht="15">
      <c r="A77" s="360">
        <v>71</v>
      </c>
      <c r="B77" s="331" t="s">
        <v>138</v>
      </c>
      <c r="C77" s="332">
        <v>41</v>
      </c>
      <c r="D77" s="333">
        <v>48</v>
      </c>
      <c r="E77" s="334">
        <v>32</v>
      </c>
      <c r="F77" s="430">
        <f t="shared" si="1"/>
        <v>32</v>
      </c>
      <c r="G77" s="332">
        <v>101</v>
      </c>
      <c r="H77" s="524"/>
      <c r="I77" s="464"/>
      <c r="J77" s="465"/>
      <c r="K77" s="465"/>
      <c r="L77" s="465"/>
      <c r="M77" s="465"/>
      <c r="N77" s="465"/>
      <c r="O77" s="465"/>
    </row>
    <row r="78" spans="1:15" ht="15">
      <c r="A78" s="360">
        <v>72</v>
      </c>
      <c r="B78" s="331" t="s">
        <v>464</v>
      </c>
      <c r="C78" s="332">
        <v>36</v>
      </c>
      <c r="D78" s="333">
        <v>34</v>
      </c>
      <c r="E78" s="334">
        <v>23</v>
      </c>
      <c r="F78" s="430">
        <f t="shared" si="1"/>
        <v>23</v>
      </c>
      <c r="G78" s="332">
        <v>87</v>
      </c>
      <c r="H78" s="524"/>
      <c r="I78" s="464"/>
      <c r="J78" s="465"/>
      <c r="K78" s="465"/>
      <c r="L78" s="465"/>
      <c r="M78" s="465"/>
      <c r="N78" s="465"/>
      <c r="O78" s="465"/>
    </row>
    <row r="79" spans="1:15" ht="15">
      <c r="A79" s="360">
        <v>73</v>
      </c>
      <c r="B79" s="331" t="s">
        <v>465</v>
      </c>
      <c r="C79" s="332">
        <v>25</v>
      </c>
      <c r="D79" s="333">
        <v>41</v>
      </c>
      <c r="E79" s="334">
        <v>28</v>
      </c>
      <c r="F79" s="430">
        <f t="shared" si="1"/>
        <v>28</v>
      </c>
      <c r="G79" s="332">
        <v>117</v>
      </c>
      <c r="H79" s="524"/>
      <c r="I79" s="464"/>
      <c r="J79" s="465"/>
      <c r="K79" s="465"/>
      <c r="L79" s="465"/>
      <c r="M79" s="465"/>
      <c r="N79" s="465"/>
      <c r="O79" s="465"/>
    </row>
    <row r="80" spans="1:15" ht="15">
      <c r="A80" s="360">
        <v>74</v>
      </c>
      <c r="B80" s="331" t="s">
        <v>466</v>
      </c>
      <c r="C80" s="332">
        <v>27</v>
      </c>
      <c r="D80" s="333">
        <v>32</v>
      </c>
      <c r="E80" s="334">
        <v>21</v>
      </c>
      <c r="F80" s="430">
        <f t="shared" si="1"/>
        <v>21</v>
      </c>
      <c r="G80" s="332">
        <v>125</v>
      </c>
      <c r="H80" s="524"/>
      <c r="I80" s="464"/>
      <c r="J80" s="465"/>
      <c r="K80" s="465"/>
      <c r="L80" s="465"/>
      <c r="M80" s="465"/>
      <c r="N80" s="465"/>
      <c r="O80" s="465"/>
    </row>
    <row r="81" spans="1:15" ht="15">
      <c r="A81" s="360">
        <v>75</v>
      </c>
      <c r="B81" s="331" t="s">
        <v>467</v>
      </c>
      <c r="C81" s="332">
        <v>29</v>
      </c>
      <c r="D81" s="333">
        <v>50</v>
      </c>
      <c r="E81" s="334">
        <v>33</v>
      </c>
      <c r="F81" s="430">
        <f t="shared" si="1"/>
        <v>33</v>
      </c>
      <c r="G81" s="332">
        <v>144</v>
      </c>
      <c r="H81" s="524"/>
      <c r="I81" s="464"/>
      <c r="J81" s="465"/>
      <c r="K81" s="465"/>
      <c r="L81" s="465"/>
      <c r="M81" s="465"/>
      <c r="N81" s="465"/>
      <c r="O81" s="465"/>
    </row>
    <row r="82" spans="1:15" ht="15">
      <c r="A82" s="360">
        <v>76</v>
      </c>
      <c r="B82" s="331" t="s">
        <v>468</v>
      </c>
      <c r="C82" s="332">
        <v>29</v>
      </c>
      <c r="D82" s="333">
        <v>36</v>
      </c>
      <c r="E82" s="334">
        <v>24</v>
      </c>
      <c r="F82" s="430">
        <f t="shared" si="1"/>
        <v>24</v>
      </c>
      <c r="G82" s="332">
        <v>145</v>
      </c>
      <c r="H82" s="524"/>
      <c r="I82" s="464"/>
      <c r="J82" s="465"/>
      <c r="K82" s="465"/>
      <c r="L82" s="465"/>
      <c r="M82" s="465"/>
      <c r="N82" s="465"/>
      <c r="O82" s="465"/>
    </row>
    <row r="83" spans="1:15" ht="15">
      <c r="A83" s="360">
        <v>77</v>
      </c>
      <c r="B83" s="331" t="s">
        <v>140</v>
      </c>
      <c r="C83" s="332">
        <v>25</v>
      </c>
      <c r="D83" s="333">
        <v>38</v>
      </c>
      <c r="E83" s="334">
        <v>25</v>
      </c>
      <c r="F83" s="430">
        <f t="shared" si="1"/>
        <v>25</v>
      </c>
      <c r="G83" s="332">
        <v>130</v>
      </c>
      <c r="H83" s="524"/>
      <c r="I83" s="464"/>
      <c r="J83" s="465"/>
      <c r="K83" s="465"/>
      <c r="L83" s="465"/>
      <c r="M83" s="465"/>
      <c r="N83" s="465"/>
      <c r="O83" s="465"/>
    </row>
    <row r="84" spans="1:15" ht="15">
      <c r="A84" s="360">
        <v>78</v>
      </c>
      <c r="B84" s="331" t="s">
        <v>141</v>
      </c>
      <c r="C84" s="332">
        <v>31</v>
      </c>
      <c r="D84" s="333">
        <v>33</v>
      </c>
      <c r="E84" s="334">
        <v>22</v>
      </c>
      <c r="F84" s="430">
        <f t="shared" si="1"/>
        <v>22</v>
      </c>
      <c r="G84" s="332">
        <v>196</v>
      </c>
      <c r="H84" s="524"/>
      <c r="I84" s="464"/>
      <c r="J84" s="465"/>
      <c r="K84" s="465"/>
      <c r="L84" s="465"/>
      <c r="M84" s="465"/>
      <c r="N84" s="465"/>
      <c r="O84" s="465"/>
    </row>
    <row r="85" spans="1:15" ht="15">
      <c r="A85" s="360">
        <v>79</v>
      </c>
      <c r="B85" s="331" t="s">
        <v>142</v>
      </c>
      <c r="C85" s="332">
        <v>23</v>
      </c>
      <c r="D85" s="333">
        <v>44</v>
      </c>
      <c r="E85" s="334">
        <v>29</v>
      </c>
      <c r="F85" s="430">
        <f t="shared" si="1"/>
        <v>29</v>
      </c>
      <c r="G85" s="332">
        <v>92</v>
      </c>
      <c r="H85" s="524"/>
      <c r="I85" s="464"/>
      <c r="J85" s="465"/>
      <c r="K85" s="465"/>
      <c r="L85" s="465"/>
      <c r="M85" s="465"/>
      <c r="N85" s="465"/>
      <c r="O85" s="465"/>
    </row>
    <row r="86" spans="1:15" ht="15">
      <c r="A86" s="360">
        <v>80</v>
      </c>
      <c r="B86" s="331" t="s">
        <v>143</v>
      </c>
      <c r="C86" s="332">
        <v>35</v>
      </c>
      <c r="D86" s="333">
        <v>47</v>
      </c>
      <c r="E86" s="334">
        <v>32</v>
      </c>
      <c r="F86" s="430">
        <f t="shared" si="1"/>
        <v>32</v>
      </c>
      <c r="G86" s="332">
        <v>108</v>
      </c>
      <c r="H86" s="524"/>
      <c r="I86" s="464"/>
      <c r="J86" s="465"/>
      <c r="K86" s="465"/>
      <c r="L86" s="465"/>
      <c r="M86" s="465"/>
      <c r="N86" s="465"/>
      <c r="O86" s="465"/>
    </row>
    <row r="87" spans="1:15" ht="15">
      <c r="A87" s="360">
        <v>81</v>
      </c>
      <c r="B87" s="331" t="s">
        <v>144</v>
      </c>
      <c r="C87" s="332">
        <v>39</v>
      </c>
      <c r="D87" s="333">
        <v>56</v>
      </c>
      <c r="E87" s="334">
        <v>37</v>
      </c>
      <c r="F87" s="430">
        <f t="shared" si="1"/>
        <v>37</v>
      </c>
      <c r="G87" s="332">
        <v>191</v>
      </c>
      <c r="H87" s="524"/>
      <c r="I87" s="464"/>
      <c r="J87" s="465"/>
      <c r="K87" s="465"/>
      <c r="L87" s="465"/>
      <c r="M87" s="465"/>
      <c r="N87" s="465"/>
      <c r="O87" s="465"/>
    </row>
    <row r="88" spans="1:15" ht="15">
      <c r="A88" s="360">
        <v>82</v>
      </c>
      <c r="B88" s="331" t="s">
        <v>469</v>
      </c>
      <c r="C88" s="332">
        <v>49</v>
      </c>
      <c r="D88" s="333">
        <v>39</v>
      </c>
      <c r="E88" s="334">
        <v>26</v>
      </c>
      <c r="F88" s="430">
        <f t="shared" si="1"/>
        <v>26</v>
      </c>
      <c r="G88" s="332">
        <v>156</v>
      </c>
      <c r="H88" s="524"/>
      <c r="I88" s="464"/>
      <c r="J88" s="465"/>
      <c r="K88" s="465"/>
      <c r="L88" s="465"/>
      <c r="M88" s="465"/>
      <c r="N88" s="465"/>
      <c r="O88" s="465"/>
    </row>
    <row r="89" spans="1:15" ht="15">
      <c r="A89" s="360">
        <v>83</v>
      </c>
      <c r="B89" s="331" t="s">
        <v>470</v>
      </c>
      <c r="C89" s="332">
        <v>32</v>
      </c>
      <c r="D89" s="333">
        <v>52</v>
      </c>
      <c r="E89" s="334">
        <v>35</v>
      </c>
      <c r="F89" s="430">
        <f t="shared" si="1"/>
        <v>35</v>
      </c>
      <c r="G89" s="332">
        <v>160</v>
      </c>
      <c r="H89" s="524"/>
      <c r="I89" s="464"/>
      <c r="J89" s="465"/>
      <c r="K89" s="465"/>
      <c r="L89" s="465"/>
      <c r="M89" s="465"/>
      <c r="N89" s="465"/>
      <c r="O89" s="465"/>
    </row>
    <row r="90" spans="1:15" ht="15">
      <c r="A90" s="360">
        <v>84</v>
      </c>
      <c r="B90" s="331" t="s">
        <v>471</v>
      </c>
      <c r="C90" s="332">
        <v>43</v>
      </c>
      <c r="D90" s="333">
        <v>34</v>
      </c>
      <c r="E90" s="334">
        <v>23</v>
      </c>
      <c r="F90" s="430">
        <f t="shared" si="1"/>
        <v>23</v>
      </c>
      <c r="G90" s="332">
        <v>126</v>
      </c>
      <c r="H90" s="524"/>
      <c r="I90" s="464"/>
      <c r="J90" s="465"/>
      <c r="K90" s="465"/>
      <c r="L90" s="465"/>
      <c r="M90" s="465"/>
      <c r="N90" s="465"/>
      <c r="O90" s="465"/>
    </row>
    <row r="91" spans="1:15" ht="15">
      <c r="A91" s="360">
        <v>85</v>
      </c>
      <c r="B91" s="331" t="s">
        <v>146</v>
      </c>
      <c r="C91" s="332">
        <v>28</v>
      </c>
      <c r="D91" s="333">
        <v>54</v>
      </c>
      <c r="E91" s="334">
        <v>36</v>
      </c>
      <c r="F91" s="430">
        <f t="shared" si="1"/>
        <v>36</v>
      </c>
      <c r="G91" s="332">
        <v>135</v>
      </c>
      <c r="H91" s="524"/>
      <c r="I91" s="464"/>
      <c r="J91" s="465"/>
      <c r="K91" s="465"/>
      <c r="L91" s="465"/>
      <c r="M91" s="465"/>
      <c r="N91" s="465"/>
      <c r="O91" s="465"/>
    </row>
    <row r="92" spans="1:15" ht="15">
      <c r="A92" s="360">
        <v>86</v>
      </c>
      <c r="B92" s="331" t="s">
        <v>472</v>
      </c>
      <c r="C92" s="332">
        <v>45</v>
      </c>
      <c r="D92" s="333">
        <v>66</v>
      </c>
      <c r="E92" s="334">
        <v>44</v>
      </c>
      <c r="F92" s="430">
        <f t="shared" si="1"/>
        <v>44</v>
      </c>
      <c r="G92" s="332">
        <v>233</v>
      </c>
      <c r="H92" s="524"/>
      <c r="I92" s="464"/>
      <c r="J92" s="465"/>
      <c r="K92" s="465"/>
      <c r="L92" s="465"/>
      <c r="M92" s="465"/>
      <c r="N92" s="465"/>
      <c r="O92" s="465"/>
    </row>
    <row r="93" spans="1:15" ht="15">
      <c r="A93" s="360">
        <v>87</v>
      </c>
      <c r="B93" s="331" t="s">
        <v>473</v>
      </c>
      <c r="C93" s="332">
        <v>44</v>
      </c>
      <c r="D93" s="333">
        <v>51</v>
      </c>
      <c r="E93" s="334">
        <v>34</v>
      </c>
      <c r="F93" s="430">
        <f t="shared" si="1"/>
        <v>34</v>
      </c>
      <c r="G93" s="332">
        <v>156</v>
      </c>
      <c r="H93" s="524"/>
      <c r="I93" s="464"/>
      <c r="J93" s="465"/>
      <c r="K93" s="465"/>
      <c r="L93" s="465"/>
      <c r="M93" s="465"/>
      <c r="N93" s="465"/>
      <c r="O93" s="465"/>
    </row>
    <row r="94" spans="1:15" ht="15">
      <c r="A94" s="360">
        <v>88</v>
      </c>
      <c r="B94" s="331" t="s">
        <v>148</v>
      </c>
      <c r="C94" s="332">
        <v>42</v>
      </c>
      <c r="D94" s="333">
        <v>24</v>
      </c>
      <c r="E94" s="334">
        <v>16</v>
      </c>
      <c r="F94" s="430">
        <f t="shared" si="1"/>
        <v>16</v>
      </c>
      <c r="G94" s="332">
        <v>95</v>
      </c>
      <c r="H94" s="524"/>
      <c r="I94" s="464"/>
      <c r="J94" s="465"/>
      <c r="K94" s="465"/>
      <c r="L94" s="465"/>
      <c r="M94" s="465"/>
      <c r="N94" s="465"/>
      <c r="O94" s="465"/>
    </row>
    <row r="95" spans="1:15" ht="15">
      <c r="A95" s="360">
        <v>89</v>
      </c>
      <c r="B95" s="331" t="s">
        <v>149</v>
      </c>
      <c r="C95" s="332">
        <v>20</v>
      </c>
      <c r="D95" s="333">
        <v>46</v>
      </c>
      <c r="E95" s="334">
        <v>31</v>
      </c>
      <c r="F95" s="430">
        <f t="shared" si="1"/>
        <v>31</v>
      </c>
      <c r="G95" s="332">
        <v>126</v>
      </c>
      <c r="H95" s="524"/>
      <c r="I95" s="464"/>
      <c r="J95" s="465"/>
      <c r="K95" s="465"/>
      <c r="L95" s="465"/>
      <c r="M95" s="465"/>
      <c r="N95" s="465"/>
      <c r="O95" s="465"/>
    </row>
    <row r="96" spans="1:15" ht="15">
      <c r="A96" s="360">
        <v>90</v>
      </c>
      <c r="B96" s="331" t="s">
        <v>150</v>
      </c>
      <c r="C96" s="332">
        <v>30</v>
      </c>
      <c r="D96" s="333">
        <v>39</v>
      </c>
      <c r="E96" s="334">
        <v>26</v>
      </c>
      <c r="F96" s="430">
        <f t="shared" si="1"/>
        <v>26</v>
      </c>
      <c r="G96" s="332">
        <v>94</v>
      </c>
      <c r="H96" s="524"/>
      <c r="I96" s="464"/>
      <c r="J96" s="465"/>
      <c r="K96" s="465"/>
      <c r="L96" s="465"/>
      <c r="M96" s="465"/>
      <c r="N96" s="465"/>
      <c r="O96" s="465"/>
    </row>
    <row r="97" spans="1:15" ht="15">
      <c r="A97" s="360">
        <v>91</v>
      </c>
      <c r="B97" s="331" t="s">
        <v>151</v>
      </c>
      <c r="C97" s="332">
        <v>30</v>
      </c>
      <c r="D97" s="333">
        <v>50</v>
      </c>
      <c r="E97" s="334">
        <v>33</v>
      </c>
      <c r="F97" s="430">
        <f t="shared" si="1"/>
        <v>33</v>
      </c>
      <c r="G97" s="332">
        <v>180</v>
      </c>
      <c r="H97" s="524"/>
      <c r="I97" s="464"/>
      <c r="J97" s="465"/>
      <c r="K97" s="465"/>
      <c r="L97" s="465"/>
      <c r="M97" s="465"/>
      <c r="N97" s="465"/>
      <c r="O97" s="465"/>
    </row>
    <row r="98" spans="1:15" s="316" customFormat="1" ht="15">
      <c r="A98" s="360">
        <v>92</v>
      </c>
      <c r="B98" s="331" t="s">
        <v>474</v>
      </c>
      <c r="C98" s="332">
        <v>33</v>
      </c>
      <c r="D98" s="333">
        <v>47</v>
      </c>
      <c r="E98" s="334">
        <v>32</v>
      </c>
      <c r="F98" s="430">
        <f t="shared" si="1"/>
        <v>32</v>
      </c>
      <c r="G98" s="332">
        <v>142</v>
      </c>
      <c r="H98" s="524"/>
      <c r="I98" s="464"/>
      <c r="J98" s="537"/>
      <c r="K98" s="537"/>
      <c r="L98" s="537"/>
      <c r="M98" s="537"/>
      <c r="N98" s="537"/>
      <c r="O98" s="537"/>
    </row>
    <row r="99" spans="1:15" s="316" customFormat="1" ht="15">
      <c r="A99" s="360">
        <v>93</v>
      </c>
      <c r="B99" s="331" t="s">
        <v>475</v>
      </c>
      <c r="C99" s="332">
        <v>30</v>
      </c>
      <c r="D99" s="333">
        <v>51</v>
      </c>
      <c r="E99" s="334">
        <v>34</v>
      </c>
      <c r="F99" s="430">
        <f t="shared" si="1"/>
        <v>34</v>
      </c>
      <c r="G99" s="332">
        <v>161</v>
      </c>
      <c r="H99" s="524"/>
      <c r="I99" s="464"/>
      <c r="J99" s="537"/>
      <c r="K99" s="537"/>
      <c r="L99" s="537"/>
      <c r="M99" s="537"/>
      <c r="N99" s="537"/>
      <c r="O99" s="537"/>
    </row>
    <row r="100" spans="1:15" s="316" customFormat="1" ht="15">
      <c r="A100" s="360">
        <v>94</v>
      </c>
      <c r="B100" s="331" t="s">
        <v>476</v>
      </c>
      <c r="C100" s="332">
        <v>34</v>
      </c>
      <c r="D100" s="333">
        <v>50</v>
      </c>
      <c r="E100" s="334">
        <v>33</v>
      </c>
      <c r="F100" s="430">
        <f t="shared" si="1"/>
        <v>33</v>
      </c>
      <c r="G100" s="332">
        <v>140</v>
      </c>
      <c r="H100" s="524"/>
      <c r="I100" s="464"/>
      <c r="J100" s="537"/>
      <c r="K100" s="537"/>
      <c r="L100" s="537"/>
      <c r="M100" s="537"/>
      <c r="N100" s="537"/>
      <c r="O100" s="537"/>
    </row>
    <row r="101" spans="1:15" ht="15">
      <c r="A101" s="360">
        <v>95</v>
      </c>
      <c r="B101" s="331" t="s">
        <v>477</v>
      </c>
      <c r="C101" s="332">
        <v>30</v>
      </c>
      <c r="D101" s="333">
        <v>47</v>
      </c>
      <c r="E101" s="334">
        <v>32</v>
      </c>
      <c r="F101" s="430">
        <f t="shared" si="1"/>
        <v>32</v>
      </c>
      <c r="G101" s="332">
        <v>134</v>
      </c>
      <c r="H101" s="524"/>
      <c r="I101" s="464"/>
      <c r="J101" s="465"/>
      <c r="K101" s="465"/>
      <c r="L101" s="465"/>
      <c r="M101" s="465"/>
      <c r="N101" s="465"/>
      <c r="O101" s="465"/>
    </row>
    <row r="102" spans="1:15" ht="15">
      <c r="A102" s="360">
        <v>96</v>
      </c>
      <c r="B102" s="331" t="s">
        <v>153</v>
      </c>
      <c r="C102" s="332">
        <v>30</v>
      </c>
      <c r="D102" s="333">
        <v>30</v>
      </c>
      <c r="E102" s="334">
        <v>20</v>
      </c>
      <c r="F102" s="430">
        <f t="shared" si="1"/>
        <v>20</v>
      </c>
      <c r="G102" s="332">
        <v>105</v>
      </c>
      <c r="H102" s="524"/>
      <c r="I102" s="464"/>
      <c r="J102" s="465"/>
      <c r="K102" s="465"/>
      <c r="L102" s="465"/>
      <c r="M102" s="465"/>
      <c r="N102" s="465"/>
      <c r="O102" s="465"/>
    </row>
    <row r="103" spans="1:15" ht="15">
      <c r="A103" s="360">
        <v>97</v>
      </c>
      <c r="B103" s="331" t="s">
        <v>154</v>
      </c>
      <c r="C103" s="332">
        <v>25</v>
      </c>
      <c r="D103" s="333">
        <v>39</v>
      </c>
      <c r="E103" s="334">
        <v>26</v>
      </c>
      <c r="F103" s="430">
        <f t="shared" si="1"/>
        <v>26</v>
      </c>
      <c r="G103" s="332">
        <v>109</v>
      </c>
      <c r="H103" s="524"/>
      <c r="I103" s="464"/>
      <c r="J103" s="465"/>
      <c r="K103" s="465"/>
      <c r="L103" s="465"/>
      <c r="M103" s="465"/>
      <c r="N103" s="465"/>
      <c r="O103" s="465"/>
    </row>
    <row r="104" spans="1:15" ht="15">
      <c r="A104" s="360">
        <v>98</v>
      </c>
      <c r="B104" s="331" t="s">
        <v>155</v>
      </c>
      <c r="C104" s="332">
        <v>32</v>
      </c>
      <c r="D104" s="333">
        <v>56</v>
      </c>
      <c r="E104" s="334">
        <v>37</v>
      </c>
      <c r="F104" s="430">
        <f t="shared" si="1"/>
        <v>37</v>
      </c>
      <c r="G104" s="332">
        <v>170</v>
      </c>
      <c r="H104" s="524"/>
      <c r="I104" s="464"/>
      <c r="J104" s="465"/>
      <c r="K104" s="465"/>
      <c r="L104" s="465"/>
      <c r="M104" s="465"/>
      <c r="N104" s="465"/>
      <c r="O104" s="465"/>
    </row>
    <row r="105" spans="1:15" ht="15">
      <c r="A105" s="360">
        <v>99</v>
      </c>
      <c r="B105" s="331" t="s">
        <v>156</v>
      </c>
      <c r="C105" s="332">
        <v>46</v>
      </c>
      <c r="D105" s="333">
        <v>42</v>
      </c>
      <c r="E105" s="334">
        <v>28</v>
      </c>
      <c r="F105" s="430">
        <f t="shared" si="1"/>
        <v>28</v>
      </c>
      <c r="G105" s="332">
        <v>223</v>
      </c>
      <c r="H105" s="524"/>
      <c r="I105" s="464"/>
      <c r="J105" s="465"/>
      <c r="K105" s="465"/>
      <c r="L105" s="465"/>
      <c r="M105" s="465"/>
      <c r="N105" s="465"/>
      <c r="O105" s="465"/>
    </row>
    <row r="106" spans="1:15" ht="15">
      <c r="A106" s="360">
        <v>100</v>
      </c>
      <c r="B106" s="331" t="s">
        <v>157</v>
      </c>
      <c r="C106" s="332">
        <v>29</v>
      </c>
      <c r="D106" s="333">
        <v>29</v>
      </c>
      <c r="E106" s="334">
        <v>20</v>
      </c>
      <c r="F106" s="430">
        <f t="shared" si="1"/>
        <v>20</v>
      </c>
      <c r="G106" s="332">
        <v>91</v>
      </c>
      <c r="H106" s="524"/>
      <c r="I106" s="524"/>
      <c r="J106" s="524"/>
      <c r="K106" s="524"/>
      <c r="L106" s="465"/>
      <c r="M106" s="465"/>
      <c r="N106" s="465"/>
      <c r="O106" s="465"/>
    </row>
    <row r="107" spans="1:15" ht="15">
      <c r="A107" s="360">
        <v>101</v>
      </c>
      <c r="B107" s="331" t="s">
        <v>158</v>
      </c>
      <c r="C107" s="332">
        <v>24</v>
      </c>
      <c r="D107" s="333">
        <v>41</v>
      </c>
      <c r="E107" s="334">
        <v>28</v>
      </c>
      <c r="F107" s="430">
        <f t="shared" si="1"/>
        <v>28</v>
      </c>
      <c r="G107" s="332">
        <v>126</v>
      </c>
      <c r="H107" s="524"/>
      <c r="I107" s="464"/>
      <c r="J107" s="465"/>
      <c r="K107" s="465"/>
      <c r="L107" s="465"/>
      <c r="M107" s="465"/>
      <c r="N107" s="465"/>
      <c r="O107" s="465"/>
    </row>
    <row r="108" spans="1:15" ht="15" customHeight="1">
      <c r="A108" s="360">
        <v>102</v>
      </c>
      <c r="B108" s="331" t="s">
        <v>159</v>
      </c>
      <c r="C108" s="332">
        <v>34</v>
      </c>
      <c r="D108" s="333">
        <v>50</v>
      </c>
      <c r="E108" s="334">
        <v>33</v>
      </c>
      <c r="F108" s="430">
        <f t="shared" si="1"/>
        <v>33</v>
      </c>
      <c r="G108" s="332">
        <v>200</v>
      </c>
      <c r="H108" s="524"/>
      <c r="I108" s="464"/>
      <c r="J108" s="465"/>
      <c r="K108" s="465"/>
      <c r="L108" s="465"/>
      <c r="M108" s="465"/>
      <c r="N108" s="465"/>
      <c r="O108" s="465"/>
    </row>
    <row r="109" spans="1:15" ht="15">
      <c r="A109" s="360">
        <v>103</v>
      </c>
      <c r="B109" s="331" t="s">
        <v>160</v>
      </c>
      <c r="C109" s="332">
        <v>47</v>
      </c>
      <c r="D109" s="333">
        <v>68</v>
      </c>
      <c r="E109" s="334">
        <v>45</v>
      </c>
      <c r="F109" s="430">
        <f t="shared" si="1"/>
        <v>45</v>
      </c>
      <c r="G109" s="332">
        <v>171</v>
      </c>
      <c r="H109" s="524"/>
      <c r="I109" s="464"/>
      <c r="J109" s="465"/>
      <c r="K109" s="465"/>
      <c r="L109" s="465"/>
      <c r="M109" s="465"/>
      <c r="N109" s="465"/>
      <c r="O109" s="465"/>
    </row>
    <row r="110" spans="1:15" ht="15">
      <c r="A110" s="360">
        <v>104</v>
      </c>
      <c r="B110" s="331" t="s">
        <v>161</v>
      </c>
      <c r="C110" s="332">
        <v>50</v>
      </c>
      <c r="D110" s="333">
        <v>39</v>
      </c>
      <c r="E110" s="334">
        <v>26</v>
      </c>
      <c r="F110" s="430">
        <f t="shared" si="1"/>
        <v>26</v>
      </c>
      <c r="G110" s="332">
        <v>132</v>
      </c>
      <c r="H110" s="524"/>
      <c r="I110" s="464"/>
      <c r="J110" s="465"/>
      <c r="K110" s="465"/>
      <c r="L110" s="465"/>
      <c r="M110" s="465"/>
      <c r="N110" s="465"/>
      <c r="O110" s="465"/>
    </row>
    <row r="111" spans="1:15" ht="15">
      <c r="A111" s="360">
        <v>105</v>
      </c>
      <c r="B111" s="331" t="s">
        <v>162</v>
      </c>
      <c r="C111" s="332">
        <v>32</v>
      </c>
      <c r="D111" s="333">
        <v>58</v>
      </c>
      <c r="E111" s="334">
        <v>39</v>
      </c>
      <c r="F111" s="430">
        <f t="shared" si="1"/>
        <v>39</v>
      </c>
      <c r="G111" s="332">
        <v>112</v>
      </c>
      <c r="H111" s="524"/>
      <c r="I111" s="464"/>
      <c r="J111" s="465"/>
      <c r="K111" s="465"/>
      <c r="L111" s="465"/>
      <c r="M111" s="465"/>
      <c r="N111" s="465"/>
      <c r="O111" s="465"/>
    </row>
    <row r="112" spans="1:15" ht="15">
      <c r="A112" s="360">
        <v>106</v>
      </c>
      <c r="B112" s="331" t="s">
        <v>163</v>
      </c>
      <c r="C112" s="332">
        <v>55</v>
      </c>
      <c r="D112" s="333">
        <v>23</v>
      </c>
      <c r="E112" s="334">
        <v>16</v>
      </c>
      <c r="F112" s="430">
        <f t="shared" si="1"/>
        <v>16</v>
      </c>
      <c r="G112" s="332">
        <v>57</v>
      </c>
      <c r="H112" s="524"/>
      <c r="I112" s="464"/>
      <c r="J112" s="465"/>
      <c r="K112" s="465"/>
      <c r="L112" s="465"/>
      <c r="M112" s="465"/>
      <c r="N112" s="465"/>
      <c r="O112" s="465"/>
    </row>
    <row r="113" spans="1:15" ht="15">
      <c r="A113" s="360">
        <v>107</v>
      </c>
      <c r="B113" s="331" t="s">
        <v>164</v>
      </c>
      <c r="C113" s="332">
        <v>21</v>
      </c>
      <c r="D113" s="333">
        <v>28</v>
      </c>
      <c r="E113" s="334">
        <v>19</v>
      </c>
      <c r="F113" s="430">
        <f t="shared" si="1"/>
        <v>19</v>
      </c>
      <c r="G113" s="332">
        <v>75</v>
      </c>
      <c r="H113" s="524"/>
      <c r="I113" s="464"/>
      <c r="J113" s="465"/>
      <c r="K113" s="465"/>
      <c r="L113" s="465"/>
      <c r="M113" s="465"/>
      <c r="N113" s="465"/>
      <c r="O113" s="465"/>
    </row>
    <row r="114" spans="1:15" ht="15">
      <c r="A114" s="360">
        <v>108</v>
      </c>
      <c r="B114" s="331" t="s">
        <v>165</v>
      </c>
      <c r="C114" s="332">
        <v>23</v>
      </c>
      <c r="D114" s="333">
        <v>46</v>
      </c>
      <c r="E114" s="334">
        <v>31</v>
      </c>
      <c r="F114" s="430">
        <f t="shared" si="1"/>
        <v>31</v>
      </c>
      <c r="G114" s="332">
        <v>228</v>
      </c>
      <c r="H114" s="524"/>
      <c r="I114" s="464"/>
      <c r="J114" s="465"/>
      <c r="K114" s="465"/>
      <c r="L114" s="465"/>
      <c r="M114" s="465"/>
      <c r="N114" s="465"/>
      <c r="O114" s="465"/>
    </row>
    <row r="115" spans="1:15" ht="15">
      <c r="A115" s="360">
        <v>109</v>
      </c>
      <c r="B115" s="331" t="s">
        <v>166</v>
      </c>
      <c r="C115" s="332">
        <v>41</v>
      </c>
      <c r="D115" s="333">
        <v>42</v>
      </c>
      <c r="E115" s="334">
        <v>28</v>
      </c>
      <c r="F115" s="430">
        <f t="shared" si="1"/>
        <v>28</v>
      </c>
      <c r="G115" s="332">
        <v>185</v>
      </c>
      <c r="H115" s="524"/>
      <c r="I115" s="464"/>
      <c r="J115" s="465"/>
      <c r="K115" s="465"/>
      <c r="L115" s="465"/>
      <c r="M115" s="465"/>
      <c r="N115" s="465"/>
      <c r="O115" s="465"/>
    </row>
    <row r="116" spans="1:15" ht="15">
      <c r="A116" s="360">
        <v>110</v>
      </c>
      <c r="B116" s="331" t="s">
        <v>167</v>
      </c>
      <c r="C116" s="332">
        <v>35</v>
      </c>
      <c r="D116" s="333">
        <v>33</v>
      </c>
      <c r="E116" s="334">
        <v>22</v>
      </c>
      <c r="F116" s="430">
        <f t="shared" si="1"/>
        <v>22</v>
      </c>
      <c r="G116" s="332">
        <v>96</v>
      </c>
      <c r="H116" s="524"/>
      <c r="I116" s="464"/>
      <c r="J116" s="465"/>
      <c r="K116" s="465"/>
      <c r="L116" s="465"/>
      <c r="M116" s="465"/>
      <c r="N116" s="465"/>
      <c r="O116" s="465"/>
    </row>
    <row r="117" spans="1:15" ht="15">
      <c r="A117" s="360">
        <v>111</v>
      </c>
      <c r="B117" s="331" t="s">
        <v>168</v>
      </c>
      <c r="C117" s="332">
        <v>27</v>
      </c>
      <c r="D117" s="333">
        <v>24</v>
      </c>
      <c r="E117" s="334">
        <v>16</v>
      </c>
      <c r="F117" s="430">
        <f t="shared" si="1"/>
        <v>16</v>
      </c>
      <c r="G117" s="332">
        <v>103</v>
      </c>
      <c r="H117" s="524"/>
      <c r="I117" s="464"/>
      <c r="J117" s="465"/>
      <c r="K117" s="465"/>
      <c r="L117" s="465"/>
      <c r="M117" s="465"/>
      <c r="N117" s="465"/>
      <c r="O117" s="465"/>
    </row>
    <row r="118" spans="1:15" ht="15">
      <c r="A118" s="360">
        <v>112</v>
      </c>
      <c r="B118" s="331" t="s">
        <v>169</v>
      </c>
      <c r="C118" s="332">
        <v>20</v>
      </c>
      <c r="D118" s="333">
        <v>30</v>
      </c>
      <c r="E118" s="334">
        <v>20</v>
      </c>
      <c r="F118" s="430">
        <f t="shared" si="1"/>
        <v>20</v>
      </c>
      <c r="G118" s="332">
        <v>80</v>
      </c>
      <c r="H118" s="524"/>
      <c r="I118" s="464"/>
      <c r="J118" s="465"/>
      <c r="K118" s="465"/>
      <c r="L118" s="465"/>
      <c r="M118" s="465"/>
      <c r="N118" s="465"/>
      <c r="O118" s="465"/>
    </row>
    <row r="119" spans="1:15" ht="15">
      <c r="A119" s="360">
        <v>113</v>
      </c>
      <c r="B119" s="331" t="s">
        <v>170</v>
      </c>
      <c r="C119" s="332">
        <v>25</v>
      </c>
      <c r="D119" s="333">
        <v>44</v>
      </c>
      <c r="E119" s="334">
        <v>29</v>
      </c>
      <c r="F119" s="430">
        <f t="shared" si="1"/>
        <v>29</v>
      </c>
      <c r="G119" s="332">
        <v>120</v>
      </c>
      <c r="H119" s="524"/>
      <c r="I119" s="464"/>
      <c r="J119" s="465"/>
      <c r="K119" s="465"/>
      <c r="L119" s="465"/>
      <c r="M119" s="465"/>
      <c r="N119" s="465"/>
      <c r="O119" s="465"/>
    </row>
    <row r="120" spans="1:15" ht="15">
      <c r="A120" s="360">
        <v>114</v>
      </c>
      <c r="B120" s="331" t="s">
        <v>171</v>
      </c>
      <c r="C120" s="332">
        <v>36</v>
      </c>
      <c r="D120" s="333">
        <v>45</v>
      </c>
      <c r="E120" s="334">
        <v>30</v>
      </c>
      <c r="F120" s="430">
        <f t="shared" si="1"/>
        <v>30</v>
      </c>
      <c r="G120" s="332">
        <v>100</v>
      </c>
      <c r="H120" s="524"/>
      <c r="I120" s="464"/>
      <c r="J120" s="465"/>
      <c r="K120" s="465"/>
      <c r="L120" s="465"/>
      <c r="M120" s="465"/>
      <c r="N120" s="465"/>
      <c r="O120" s="465"/>
    </row>
    <row r="121" spans="1:15" ht="15">
      <c r="A121" s="360">
        <v>115</v>
      </c>
      <c r="B121" s="331" t="s">
        <v>172</v>
      </c>
      <c r="C121" s="332">
        <v>37</v>
      </c>
      <c r="D121" s="333">
        <v>53</v>
      </c>
      <c r="E121" s="334">
        <v>36</v>
      </c>
      <c r="F121" s="430">
        <f t="shared" si="1"/>
        <v>36</v>
      </c>
      <c r="G121" s="332">
        <v>180</v>
      </c>
      <c r="H121" s="524"/>
      <c r="I121" s="464"/>
      <c r="J121" s="465"/>
      <c r="K121" s="465"/>
      <c r="L121" s="465"/>
      <c r="M121" s="465"/>
      <c r="N121" s="465"/>
      <c r="O121" s="465"/>
    </row>
    <row r="122" spans="1:15" ht="15">
      <c r="A122" s="360">
        <v>116</v>
      </c>
      <c r="B122" s="331" t="s">
        <v>173</v>
      </c>
      <c r="C122" s="332">
        <v>39</v>
      </c>
      <c r="D122" s="333">
        <v>24</v>
      </c>
      <c r="E122" s="334">
        <v>16</v>
      </c>
      <c r="F122" s="430">
        <f t="shared" si="1"/>
        <v>16</v>
      </c>
      <c r="G122" s="332">
        <v>68</v>
      </c>
      <c r="H122" s="524"/>
      <c r="I122" s="464"/>
      <c r="J122" s="465"/>
      <c r="K122" s="465"/>
      <c r="L122" s="465"/>
      <c r="M122" s="465"/>
      <c r="N122" s="465"/>
      <c r="O122" s="465"/>
    </row>
    <row r="123" spans="1:15" ht="15">
      <c r="A123" s="360">
        <v>117</v>
      </c>
      <c r="B123" s="331" t="s">
        <v>174</v>
      </c>
      <c r="C123" s="332">
        <v>20</v>
      </c>
      <c r="D123" s="333">
        <v>47</v>
      </c>
      <c r="E123" s="334">
        <v>32</v>
      </c>
      <c r="F123" s="430">
        <f t="shared" si="1"/>
        <v>32</v>
      </c>
      <c r="G123" s="332">
        <v>130</v>
      </c>
      <c r="H123" s="524"/>
      <c r="I123" s="464"/>
      <c r="J123" s="465"/>
      <c r="K123" s="465"/>
      <c r="L123" s="465"/>
      <c r="M123" s="465"/>
      <c r="N123" s="465"/>
      <c r="O123" s="465"/>
    </row>
    <row r="124" spans="1:15" ht="15">
      <c r="A124" s="360">
        <v>118</v>
      </c>
      <c r="B124" s="331" t="s">
        <v>175</v>
      </c>
      <c r="C124" s="332">
        <v>39</v>
      </c>
      <c r="D124" s="333">
        <v>34</v>
      </c>
      <c r="E124" s="334">
        <v>23</v>
      </c>
      <c r="F124" s="430">
        <f t="shared" si="1"/>
        <v>23</v>
      </c>
      <c r="G124" s="332">
        <v>87</v>
      </c>
      <c r="H124" s="524"/>
      <c r="I124" s="464"/>
      <c r="J124" s="465"/>
      <c r="K124" s="465"/>
      <c r="L124" s="465"/>
      <c r="M124" s="465"/>
      <c r="N124" s="465"/>
      <c r="O124" s="465"/>
    </row>
    <row r="125" spans="1:15" ht="15">
      <c r="A125" s="360">
        <v>119</v>
      </c>
      <c r="B125" s="331" t="s">
        <v>176</v>
      </c>
      <c r="C125" s="332">
        <v>31</v>
      </c>
      <c r="D125" s="333">
        <v>47</v>
      </c>
      <c r="E125" s="335">
        <v>32</v>
      </c>
      <c r="F125" s="430">
        <f t="shared" si="1"/>
        <v>32</v>
      </c>
      <c r="G125" s="332">
        <v>123</v>
      </c>
      <c r="H125" s="524"/>
      <c r="I125" s="464"/>
      <c r="J125" s="465"/>
      <c r="K125" s="465"/>
      <c r="L125" s="465"/>
      <c r="M125" s="465"/>
      <c r="N125" s="465"/>
      <c r="O125" s="465"/>
    </row>
    <row r="126" spans="1:15" ht="15">
      <c r="A126" s="360">
        <v>120</v>
      </c>
      <c r="B126" s="331" t="s">
        <v>177</v>
      </c>
      <c r="C126" s="332">
        <v>32</v>
      </c>
      <c r="D126" s="333">
        <v>34</v>
      </c>
      <c r="E126" s="334">
        <v>23</v>
      </c>
      <c r="F126" s="430">
        <v>32</v>
      </c>
      <c r="G126" s="332">
        <v>88</v>
      </c>
      <c r="H126" s="524"/>
      <c r="I126" s="464"/>
      <c r="J126" s="465"/>
      <c r="K126" s="465"/>
      <c r="L126" s="465"/>
      <c r="M126" s="465"/>
      <c r="N126" s="465"/>
      <c r="O126" s="465"/>
    </row>
    <row r="127" spans="1:15" ht="15">
      <c r="A127" s="360">
        <v>121</v>
      </c>
      <c r="B127" s="331" t="s">
        <v>178</v>
      </c>
      <c r="C127" s="332">
        <v>30</v>
      </c>
      <c r="D127" s="333">
        <v>52</v>
      </c>
      <c r="E127" s="334">
        <v>35</v>
      </c>
      <c r="F127" s="430">
        <f t="shared" si="1"/>
        <v>35</v>
      </c>
      <c r="G127" s="332">
        <v>170</v>
      </c>
      <c r="H127" s="524"/>
      <c r="I127" s="464"/>
      <c r="J127" s="465"/>
      <c r="K127" s="465"/>
      <c r="L127" s="465"/>
      <c r="M127" s="465"/>
      <c r="N127" s="465"/>
      <c r="O127" s="465"/>
    </row>
    <row r="128" spans="1:15" ht="15">
      <c r="A128" s="360">
        <v>122</v>
      </c>
      <c r="B128" s="331" t="s">
        <v>179</v>
      </c>
      <c r="C128" s="332">
        <v>31</v>
      </c>
      <c r="D128" s="333">
        <v>41</v>
      </c>
      <c r="E128" s="334">
        <v>28</v>
      </c>
      <c r="F128" s="430">
        <f t="shared" si="1"/>
        <v>28</v>
      </c>
      <c r="G128" s="332">
        <v>122</v>
      </c>
      <c r="H128" s="524"/>
      <c r="I128" s="464"/>
      <c r="J128" s="465"/>
      <c r="K128" s="465"/>
      <c r="L128" s="465"/>
      <c r="M128" s="465"/>
      <c r="N128" s="465"/>
      <c r="O128" s="465"/>
    </row>
    <row r="129" spans="1:15" ht="15">
      <c r="A129" s="360">
        <v>123</v>
      </c>
      <c r="B129" s="331" t="s">
        <v>180</v>
      </c>
      <c r="C129" s="332">
        <v>34</v>
      </c>
      <c r="D129" s="333">
        <v>45</v>
      </c>
      <c r="E129" s="334">
        <v>30</v>
      </c>
      <c r="F129" s="430">
        <f t="shared" si="1"/>
        <v>30</v>
      </c>
      <c r="G129" s="332">
        <v>112</v>
      </c>
      <c r="H129" s="524"/>
      <c r="I129" s="464"/>
      <c r="J129" s="465"/>
      <c r="K129" s="465"/>
      <c r="L129" s="465"/>
      <c r="M129" s="465"/>
      <c r="N129" s="465"/>
      <c r="O129" s="465"/>
    </row>
    <row r="130" spans="1:15" ht="15">
      <c r="A130" s="360">
        <v>124</v>
      </c>
      <c r="B130" s="331" t="s">
        <v>181</v>
      </c>
      <c r="C130" s="332">
        <v>37</v>
      </c>
      <c r="D130" s="333">
        <v>42</v>
      </c>
      <c r="E130" s="334">
        <v>28</v>
      </c>
      <c r="F130" s="430">
        <f t="shared" si="1"/>
        <v>28</v>
      </c>
      <c r="G130" s="332">
        <v>129</v>
      </c>
      <c r="H130" s="524"/>
      <c r="I130" s="464"/>
      <c r="J130" s="465"/>
      <c r="K130" s="465"/>
      <c r="L130" s="465"/>
      <c r="M130" s="465"/>
      <c r="N130" s="465"/>
      <c r="O130" s="465"/>
    </row>
    <row r="131" spans="1:15" ht="15">
      <c r="A131" s="360">
        <v>125</v>
      </c>
      <c r="B131" s="331" t="s">
        <v>478</v>
      </c>
      <c r="C131" s="332">
        <v>35</v>
      </c>
      <c r="D131" s="333">
        <v>63</v>
      </c>
      <c r="E131" s="334">
        <v>42</v>
      </c>
      <c r="F131" s="430">
        <f t="shared" si="1"/>
        <v>42</v>
      </c>
      <c r="G131" s="332">
        <v>70</v>
      </c>
      <c r="H131" s="524"/>
      <c r="I131" s="464"/>
      <c r="J131" s="465"/>
      <c r="K131" s="465"/>
      <c r="L131" s="465"/>
      <c r="M131" s="465"/>
      <c r="N131" s="465"/>
      <c r="O131" s="465"/>
    </row>
    <row r="132" spans="1:15" ht="15">
      <c r="A132" s="360">
        <v>126</v>
      </c>
      <c r="B132" s="331" t="s">
        <v>182</v>
      </c>
      <c r="C132" s="332">
        <v>52</v>
      </c>
      <c r="D132" s="333">
        <v>39</v>
      </c>
      <c r="E132" s="334">
        <v>26</v>
      </c>
      <c r="F132" s="430">
        <f t="shared" si="1"/>
        <v>26</v>
      </c>
      <c r="G132" s="332">
        <v>105</v>
      </c>
      <c r="H132" s="524"/>
      <c r="I132" s="464"/>
      <c r="J132" s="465"/>
      <c r="K132" s="465"/>
      <c r="L132" s="465"/>
      <c r="M132" s="465"/>
      <c r="N132" s="465"/>
      <c r="O132" s="465"/>
    </row>
    <row r="133" spans="1:15" ht="15">
      <c r="A133" s="360">
        <v>127</v>
      </c>
      <c r="B133" s="331" t="s">
        <v>183</v>
      </c>
      <c r="C133" s="332">
        <v>40</v>
      </c>
      <c r="D133" s="333">
        <v>54</v>
      </c>
      <c r="E133" s="334">
        <v>36</v>
      </c>
      <c r="F133" s="430">
        <f t="shared" si="1"/>
        <v>36</v>
      </c>
      <c r="G133" s="332">
        <v>220</v>
      </c>
      <c r="H133" s="524"/>
      <c r="I133" s="464"/>
      <c r="J133" s="465"/>
      <c r="K133" s="465"/>
      <c r="L133" s="465"/>
      <c r="M133" s="465"/>
      <c r="N133" s="465"/>
      <c r="O133" s="465"/>
    </row>
    <row r="134" spans="1:15" ht="12.75" customHeight="1">
      <c r="A134" s="360">
        <v>128</v>
      </c>
      <c r="B134" s="331" t="s">
        <v>184</v>
      </c>
      <c r="C134" s="332">
        <v>40</v>
      </c>
      <c r="D134" s="333">
        <v>29</v>
      </c>
      <c r="E134" s="334">
        <v>20</v>
      </c>
      <c r="F134" s="430">
        <f t="shared" si="1"/>
        <v>20</v>
      </c>
      <c r="G134" s="332">
        <v>95</v>
      </c>
      <c r="H134" s="524"/>
      <c r="I134" s="464"/>
      <c r="J134" s="465"/>
      <c r="K134" s="465"/>
      <c r="L134" s="465"/>
      <c r="M134" s="465"/>
      <c r="N134" s="465"/>
      <c r="O134" s="465"/>
    </row>
    <row r="135" spans="1:15" ht="15">
      <c r="A135" s="360">
        <v>129</v>
      </c>
      <c r="B135" s="331" t="s">
        <v>185</v>
      </c>
      <c r="C135" s="332">
        <v>20</v>
      </c>
      <c r="D135" s="333">
        <v>41</v>
      </c>
      <c r="E135" s="334">
        <v>28</v>
      </c>
      <c r="F135" s="430">
        <f t="shared" si="1"/>
        <v>28</v>
      </c>
      <c r="G135" s="332">
        <v>141</v>
      </c>
      <c r="H135" s="524"/>
      <c r="I135" s="464"/>
      <c r="J135" s="465"/>
      <c r="K135" s="465"/>
      <c r="L135" s="465"/>
      <c r="M135" s="465"/>
      <c r="N135" s="465"/>
      <c r="O135" s="465"/>
    </row>
    <row r="136" spans="1:15" ht="15">
      <c r="A136" s="360">
        <v>130</v>
      </c>
      <c r="B136" s="331" t="s">
        <v>186</v>
      </c>
      <c r="C136" s="332">
        <v>34</v>
      </c>
      <c r="D136" s="333">
        <v>56</v>
      </c>
      <c r="E136" s="334">
        <v>37</v>
      </c>
      <c r="F136" s="430">
        <f t="shared" si="1"/>
        <v>37</v>
      </c>
      <c r="G136" s="332">
        <v>74</v>
      </c>
      <c r="H136" s="524"/>
      <c r="I136" s="464"/>
      <c r="J136" s="465"/>
      <c r="K136" s="465"/>
      <c r="L136" s="465"/>
      <c r="M136" s="465"/>
      <c r="N136" s="465"/>
      <c r="O136" s="465"/>
    </row>
    <row r="137" spans="1:15" ht="15">
      <c r="A137" s="360">
        <v>131</v>
      </c>
      <c r="B137" s="331" t="s">
        <v>187</v>
      </c>
      <c r="C137" s="332">
        <v>46</v>
      </c>
      <c r="D137" s="333">
        <v>24</v>
      </c>
      <c r="E137" s="334">
        <v>16</v>
      </c>
      <c r="F137" s="430">
        <f aca="true" t="shared" si="2" ref="F137:F198">E137</f>
        <v>16</v>
      </c>
      <c r="G137" s="332">
        <v>88</v>
      </c>
      <c r="H137" s="524"/>
      <c r="I137" s="464"/>
      <c r="J137" s="465"/>
      <c r="K137" s="465"/>
      <c r="L137" s="465"/>
      <c r="M137" s="465"/>
      <c r="N137" s="465"/>
      <c r="O137" s="465"/>
    </row>
    <row r="138" spans="1:15" ht="15">
      <c r="A138" s="360">
        <v>132</v>
      </c>
      <c r="B138" s="331" t="s">
        <v>188</v>
      </c>
      <c r="C138" s="332">
        <v>15</v>
      </c>
      <c r="D138" s="333">
        <v>42</v>
      </c>
      <c r="E138" s="334">
        <v>28</v>
      </c>
      <c r="F138" s="430">
        <f t="shared" si="2"/>
        <v>28</v>
      </c>
      <c r="G138" s="332">
        <v>180</v>
      </c>
      <c r="H138" s="524"/>
      <c r="I138" s="464"/>
      <c r="J138" s="465"/>
      <c r="K138" s="465"/>
      <c r="L138" s="465"/>
      <c r="M138" s="465"/>
      <c r="N138" s="465"/>
      <c r="O138" s="465"/>
    </row>
    <row r="139" spans="1:15" ht="15">
      <c r="A139" s="360">
        <v>133</v>
      </c>
      <c r="B139" s="331" t="s">
        <v>189</v>
      </c>
      <c r="C139" s="332">
        <v>34</v>
      </c>
      <c r="D139" s="333">
        <v>27</v>
      </c>
      <c r="E139" s="334">
        <v>18</v>
      </c>
      <c r="F139" s="430">
        <f t="shared" si="2"/>
        <v>18</v>
      </c>
      <c r="G139" s="332">
        <v>92</v>
      </c>
      <c r="H139" s="524"/>
      <c r="I139" s="464"/>
      <c r="J139" s="465"/>
      <c r="K139" s="465"/>
      <c r="L139" s="465"/>
      <c r="M139" s="465"/>
      <c r="N139" s="465"/>
      <c r="O139" s="465"/>
    </row>
    <row r="140" spans="1:15" ht="15">
      <c r="A140" s="360">
        <v>134</v>
      </c>
      <c r="B140" s="331" t="s">
        <v>190</v>
      </c>
      <c r="C140" s="332">
        <v>24</v>
      </c>
      <c r="D140" s="333">
        <v>29</v>
      </c>
      <c r="E140" s="334">
        <v>20</v>
      </c>
      <c r="F140" s="430">
        <f t="shared" si="2"/>
        <v>20</v>
      </c>
      <c r="G140" s="332">
        <v>94</v>
      </c>
      <c r="H140" s="524"/>
      <c r="I140" s="464"/>
      <c r="J140" s="465"/>
      <c r="K140" s="465"/>
      <c r="L140" s="465"/>
      <c r="M140" s="465"/>
      <c r="N140" s="465"/>
      <c r="O140" s="465"/>
    </row>
    <row r="141" spans="1:15" ht="15">
      <c r="A141" s="360">
        <v>135</v>
      </c>
      <c r="B141" s="331" t="s">
        <v>191</v>
      </c>
      <c r="C141" s="332">
        <v>24</v>
      </c>
      <c r="D141" s="333">
        <v>42</v>
      </c>
      <c r="E141" s="334">
        <v>28</v>
      </c>
      <c r="F141" s="430">
        <f t="shared" si="2"/>
        <v>28</v>
      </c>
      <c r="G141" s="332">
        <v>147</v>
      </c>
      <c r="H141" s="524"/>
      <c r="I141" s="524"/>
      <c r="J141" s="524"/>
      <c r="K141" s="524"/>
      <c r="L141" s="524"/>
      <c r="M141" s="465"/>
      <c r="N141" s="465"/>
      <c r="O141" s="465"/>
    </row>
    <row r="142" spans="1:15" ht="15">
      <c r="A142" s="360">
        <v>136</v>
      </c>
      <c r="B142" s="331" t="s">
        <v>192</v>
      </c>
      <c r="C142" s="332">
        <v>35</v>
      </c>
      <c r="D142" s="333">
        <v>35</v>
      </c>
      <c r="E142" s="334">
        <v>24</v>
      </c>
      <c r="F142" s="430">
        <f t="shared" si="2"/>
        <v>24</v>
      </c>
      <c r="G142" s="332">
        <v>155</v>
      </c>
      <c r="H142" s="524"/>
      <c r="I142" s="464"/>
      <c r="J142" s="465"/>
      <c r="K142" s="465"/>
      <c r="L142" s="465"/>
      <c r="M142" s="465"/>
      <c r="N142" s="465"/>
      <c r="O142" s="465"/>
    </row>
    <row r="143" spans="1:15" ht="15">
      <c r="A143" s="360">
        <v>137</v>
      </c>
      <c r="B143" s="331" t="s">
        <v>193</v>
      </c>
      <c r="C143" s="332">
        <v>38</v>
      </c>
      <c r="D143" s="333">
        <v>23</v>
      </c>
      <c r="E143" s="334">
        <v>16</v>
      </c>
      <c r="F143" s="430">
        <f t="shared" si="2"/>
        <v>16</v>
      </c>
      <c r="G143" s="332">
        <v>77</v>
      </c>
      <c r="H143" s="524"/>
      <c r="I143" s="464"/>
      <c r="J143" s="465"/>
      <c r="K143" s="465"/>
      <c r="L143" s="465"/>
      <c r="M143" s="465"/>
      <c r="N143" s="465"/>
      <c r="O143" s="465"/>
    </row>
    <row r="144" spans="1:15" ht="15">
      <c r="A144" s="360">
        <v>138</v>
      </c>
      <c r="B144" s="331" t="s">
        <v>194</v>
      </c>
      <c r="C144" s="332">
        <v>19</v>
      </c>
      <c r="D144" s="333">
        <v>28</v>
      </c>
      <c r="E144" s="334">
        <v>19</v>
      </c>
      <c r="F144" s="430">
        <f t="shared" si="2"/>
        <v>19</v>
      </c>
      <c r="G144" s="332">
        <v>86</v>
      </c>
      <c r="H144" s="524"/>
      <c r="I144" s="464"/>
      <c r="J144" s="465"/>
      <c r="K144" s="465"/>
      <c r="L144" s="465"/>
      <c r="M144" s="465"/>
      <c r="N144" s="465"/>
      <c r="O144" s="465"/>
    </row>
    <row r="145" spans="1:15" ht="15">
      <c r="A145" s="360">
        <v>139</v>
      </c>
      <c r="B145" s="331" t="s">
        <v>195</v>
      </c>
      <c r="C145" s="332">
        <v>23</v>
      </c>
      <c r="D145" s="333">
        <v>56</v>
      </c>
      <c r="E145" s="334">
        <v>37</v>
      </c>
      <c r="F145" s="430">
        <f t="shared" si="2"/>
        <v>37</v>
      </c>
      <c r="G145" s="332">
        <v>153</v>
      </c>
      <c r="H145" s="524"/>
      <c r="I145" s="464"/>
      <c r="J145" s="465"/>
      <c r="K145" s="465"/>
      <c r="L145" s="465"/>
      <c r="M145" s="465"/>
      <c r="N145" s="465"/>
      <c r="O145" s="465"/>
    </row>
    <row r="146" spans="1:15" ht="15">
      <c r="A146" s="360">
        <v>140</v>
      </c>
      <c r="B146" s="331" t="s">
        <v>196</v>
      </c>
      <c r="C146" s="332">
        <v>39</v>
      </c>
      <c r="D146" s="333">
        <v>36</v>
      </c>
      <c r="E146" s="334">
        <v>24</v>
      </c>
      <c r="F146" s="430">
        <f t="shared" si="2"/>
        <v>24</v>
      </c>
      <c r="G146" s="332">
        <v>81</v>
      </c>
      <c r="H146" s="524"/>
      <c r="I146" s="464"/>
      <c r="J146" s="465"/>
      <c r="K146" s="465"/>
      <c r="L146" s="465"/>
      <c r="M146" s="465"/>
      <c r="N146" s="465"/>
      <c r="O146" s="465"/>
    </row>
    <row r="147" spans="1:15" ht="15">
      <c r="A147" s="360">
        <v>141</v>
      </c>
      <c r="B147" s="331" t="s">
        <v>197</v>
      </c>
      <c r="C147" s="332">
        <v>25</v>
      </c>
      <c r="D147" s="333">
        <v>46</v>
      </c>
      <c r="E147" s="334">
        <v>31</v>
      </c>
      <c r="F147" s="430">
        <f t="shared" si="2"/>
        <v>31</v>
      </c>
      <c r="G147" s="332">
        <v>119</v>
      </c>
      <c r="H147" s="524"/>
      <c r="I147" s="464"/>
      <c r="J147" s="465"/>
      <c r="K147" s="465"/>
      <c r="L147" s="465"/>
      <c r="M147" s="465"/>
      <c r="N147" s="465"/>
      <c r="O147" s="465"/>
    </row>
    <row r="148" spans="1:15" ht="15">
      <c r="A148" s="360">
        <v>142</v>
      </c>
      <c r="B148" s="331" t="s">
        <v>198</v>
      </c>
      <c r="C148" s="332">
        <v>38</v>
      </c>
      <c r="D148" s="333">
        <v>41</v>
      </c>
      <c r="E148" s="334">
        <v>28</v>
      </c>
      <c r="F148" s="430">
        <f t="shared" si="2"/>
        <v>28</v>
      </c>
      <c r="G148" s="332">
        <v>89</v>
      </c>
      <c r="H148" s="524"/>
      <c r="I148" s="464"/>
      <c r="J148" s="465"/>
      <c r="K148" s="465"/>
      <c r="L148" s="465"/>
      <c r="M148" s="465"/>
      <c r="N148" s="465"/>
      <c r="O148" s="465"/>
    </row>
    <row r="149" spans="1:15" ht="15">
      <c r="A149" s="360">
        <v>143</v>
      </c>
      <c r="B149" s="331" t="s">
        <v>199</v>
      </c>
      <c r="C149" s="332">
        <v>30</v>
      </c>
      <c r="D149" s="333">
        <v>63</v>
      </c>
      <c r="E149" s="335">
        <v>42</v>
      </c>
      <c r="F149" s="430">
        <f t="shared" si="2"/>
        <v>42</v>
      </c>
      <c r="G149" s="332">
        <v>255</v>
      </c>
      <c r="H149" s="524"/>
      <c r="I149" s="464"/>
      <c r="J149" s="465"/>
      <c r="K149" s="465"/>
      <c r="L149" s="465"/>
      <c r="M149" s="465"/>
      <c r="N149" s="465"/>
      <c r="O149" s="465"/>
    </row>
    <row r="150" spans="1:15" ht="15">
      <c r="A150" s="360">
        <v>144</v>
      </c>
      <c r="B150" s="331" t="s">
        <v>200</v>
      </c>
      <c r="C150" s="332">
        <v>52</v>
      </c>
      <c r="D150" s="333">
        <v>80</v>
      </c>
      <c r="E150" s="334">
        <v>53</v>
      </c>
      <c r="F150" s="430">
        <f t="shared" si="2"/>
        <v>53</v>
      </c>
      <c r="G150" s="332">
        <v>182</v>
      </c>
      <c r="H150" s="524"/>
      <c r="I150" s="464"/>
      <c r="J150" s="465"/>
      <c r="K150" s="465"/>
      <c r="L150" s="465"/>
      <c r="M150" s="465"/>
      <c r="N150" s="465"/>
      <c r="O150" s="465"/>
    </row>
    <row r="151" spans="1:15" ht="15">
      <c r="A151" s="360">
        <v>145</v>
      </c>
      <c r="B151" s="331" t="s">
        <v>201</v>
      </c>
      <c r="C151" s="332">
        <v>53</v>
      </c>
      <c r="D151" s="333">
        <v>36</v>
      </c>
      <c r="E151" s="334">
        <v>24</v>
      </c>
      <c r="F151" s="430">
        <f t="shared" si="2"/>
        <v>24</v>
      </c>
      <c r="G151" s="332">
        <v>104</v>
      </c>
      <c r="H151" s="524"/>
      <c r="I151" s="464"/>
      <c r="J151" s="465"/>
      <c r="K151" s="465"/>
      <c r="L151" s="465"/>
      <c r="M151" s="465"/>
      <c r="N151" s="465"/>
      <c r="O151" s="465"/>
    </row>
    <row r="152" spans="1:15" ht="15">
      <c r="A152" s="360">
        <v>146</v>
      </c>
      <c r="B152" s="331" t="s">
        <v>202</v>
      </c>
      <c r="C152" s="332">
        <v>30</v>
      </c>
      <c r="D152" s="333">
        <v>60</v>
      </c>
      <c r="E152" s="334">
        <v>40</v>
      </c>
      <c r="F152" s="430">
        <f t="shared" si="2"/>
        <v>40</v>
      </c>
      <c r="G152" s="332">
        <v>200</v>
      </c>
      <c r="H152" s="524"/>
      <c r="I152" s="464"/>
      <c r="J152" s="465"/>
      <c r="K152" s="465"/>
      <c r="L152" s="465"/>
      <c r="M152" s="465"/>
      <c r="N152" s="465"/>
      <c r="O152" s="465"/>
    </row>
    <row r="153" spans="1:15" ht="15">
      <c r="A153" s="360">
        <v>147</v>
      </c>
      <c r="B153" s="331" t="s">
        <v>479</v>
      </c>
      <c r="C153" s="332">
        <v>40</v>
      </c>
      <c r="D153" s="333">
        <v>30</v>
      </c>
      <c r="E153" s="334">
        <v>20</v>
      </c>
      <c r="F153" s="430">
        <f t="shared" si="2"/>
        <v>20</v>
      </c>
      <c r="G153" s="332">
        <v>165</v>
      </c>
      <c r="H153" s="524"/>
      <c r="I153" s="464"/>
      <c r="J153" s="465"/>
      <c r="K153" s="465"/>
      <c r="L153" s="465"/>
      <c r="M153" s="465"/>
      <c r="N153" s="465"/>
      <c r="O153" s="465"/>
    </row>
    <row r="154" spans="1:15" ht="15">
      <c r="A154" s="360">
        <v>148</v>
      </c>
      <c r="B154" s="331" t="s">
        <v>480</v>
      </c>
      <c r="C154" s="332">
        <v>25</v>
      </c>
      <c r="D154" s="333">
        <v>27</v>
      </c>
      <c r="E154" s="334">
        <v>18</v>
      </c>
      <c r="F154" s="430">
        <f t="shared" si="2"/>
        <v>18</v>
      </c>
      <c r="G154" s="332">
        <v>68</v>
      </c>
      <c r="H154" s="524"/>
      <c r="I154" s="464"/>
      <c r="J154" s="465"/>
      <c r="K154" s="465"/>
      <c r="L154" s="465"/>
      <c r="M154" s="465"/>
      <c r="N154" s="465"/>
      <c r="O154" s="465"/>
    </row>
    <row r="155" spans="1:15" ht="15">
      <c r="A155" s="360">
        <v>149</v>
      </c>
      <c r="B155" s="331" t="s">
        <v>204</v>
      </c>
      <c r="C155" s="332">
        <v>22</v>
      </c>
      <c r="D155" s="333">
        <v>51</v>
      </c>
      <c r="E155" s="334">
        <v>34</v>
      </c>
      <c r="F155" s="430">
        <f t="shared" si="2"/>
        <v>34</v>
      </c>
      <c r="G155" s="332">
        <v>166</v>
      </c>
      <c r="H155" s="524"/>
      <c r="I155" s="464"/>
      <c r="J155" s="465"/>
      <c r="K155" s="465"/>
      <c r="L155" s="465"/>
      <c r="M155" s="465"/>
      <c r="N155" s="465"/>
      <c r="O155" s="465"/>
    </row>
    <row r="156" spans="1:15" ht="15">
      <c r="A156" s="360">
        <v>150</v>
      </c>
      <c r="B156" s="331" t="s">
        <v>205</v>
      </c>
      <c r="C156" s="332">
        <v>42</v>
      </c>
      <c r="D156" s="333">
        <v>39</v>
      </c>
      <c r="E156" s="334">
        <v>26</v>
      </c>
      <c r="F156" s="430">
        <f t="shared" si="2"/>
        <v>26</v>
      </c>
      <c r="G156" s="332">
        <v>111</v>
      </c>
      <c r="H156" s="524"/>
      <c r="I156" s="464"/>
      <c r="J156" s="465"/>
      <c r="K156" s="465"/>
      <c r="L156" s="465"/>
      <c r="M156" s="465"/>
      <c r="N156" s="465"/>
      <c r="O156" s="465"/>
    </row>
    <row r="157" spans="1:15" ht="15">
      <c r="A157" s="360">
        <v>151</v>
      </c>
      <c r="B157" s="331" t="s">
        <v>206</v>
      </c>
      <c r="C157" s="332">
        <v>28</v>
      </c>
      <c r="D157" s="333">
        <v>60</v>
      </c>
      <c r="E157" s="334">
        <v>40</v>
      </c>
      <c r="F157" s="430">
        <f t="shared" si="2"/>
        <v>40</v>
      </c>
      <c r="G157" s="332">
        <v>234</v>
      </c>
      <c r="H157" s="524"/>
      <c r="I157" s="464"/>
      <c r="J157" s="465"/>
      <c r="K157" s="465"/>
      <c r="L157" s="465"/>
      <c r="M157" s="465"/>
      <c r="N157" s="465"/>
      <c r="O157" s="465"/>
    </row>
    <row r="158" spans="1:15" ht="15">
      <c r="A158" s="360">
        <v>152</v>
      </c>
      <c r="B158" s="331" t="s">
        <v>207</v>
      </c>
      <c r="C158" s="332">
        <v>30</v>
      </c>
      <c r="D158" s="333">
        <v>38</v>
      </c>
      <c r="E158" s="334">
        <v>25</v>
      </c>
      <c r="F158" s="430">
        <f t="shared" si="2"/>
        <v>25</v>
      </c>
      <c r="G158" s="332">
        <v>108</v>
      </c>
      <c r="H158" s="524"/>
      <c r="I158" s="464"/>
      <c r="J158" s="465"/>
      <c r="K158" s="465"/>
      <c r="L158" s="465"/>
      <c r="M158" s="465"/>
      <c r="N158" s="465"/>
      <c r="O158" s="465"/>
    </row>
    <row r="159" spans="1:15" ht="15">
      <c r="A159" s="360">
        <v>153</v>
      </c>
      <c r="B159" s="331" t="s">
        <v>208</v>
      </c>
      <c r="C159" s="332">
        <v>30</v>
      </c>
      <c r="D159" s="333">
        <v>30</v>
      </c>
      <c r="E159" s="334">
        <v>20</v>
      </c>
      <c r="F159" s="430">
        <f t="shared" si="2"/>
        <v>20</v>
      </c>
      <c r="G159" s="332">
        <v>93</v>
      </c>
      <c r="H159" s="524"/>
      <c r="I159" s="464"/>
      <c r="J159" s="465"/>
      <c r="K159" s="465"/>
      <c r="L159" s="465"/>
      <c r="M159" s="465"/>
      <c r="N159" s="465"/>
      <c r="O159" s="465"/>
    </row>
    <row r="160" spans="1:15" ht="15">
      <c r="A160" s="360">
        <v>154</v>
      </c>
      <c r="B160" s="331" t="s">
        <v>209</v>
      </c>
      <c r="C160" s="332">
        <v>25</v>
      </c>
      <c r="D160" s="333">
        <v>30</v>
      </c>
      <c r="E160" s="334">
        <v>20</v>
      </c>
      <c r="F160" s="430">
        <f t="shared" si="2"/>
        <v>20</v>
      </c>
      <c r="G160" s="332">
        <v>107</v>
      </c>
      <c r="H160" s="524"/>
      <c r="I160" s="464"/>
      <c r="J160" s="465"/>
      <c r="K160" s="465"/>
      <c r="L160" s="465"/>
      <c r="M160" s="465"/>
      <c r="N160" s="465"/>
      <c r="O160" s="465"/>
    </row>
    <row r="161" spans="1:15" ht="15">
      <c r="A161" s="360">
        <v>155</v>
      </c>
      <c r="B161" s="331" t="s">
        <v>481</v>
      </c>
      <c r="C161" s="332">
        <v>25</v>
      </c>
      <c r="D161" s="333">
        <v>33</v>
      </c>
      <c r="E161" s="335">
        <v>22</v>
      </c>
      <c r="F161" s="430">
        <f t="shared" si="2"/>
        <v>22</v>
      </c>
      <c r="G161" s="332">
        <v>92</v>
      </c>
      <c r="H161" s="524"/>
      <c r="I161" s="464"/>
      <c r="J161" s="465"/>
      <c r="K161" s="465"/>
      <c r="L161" s="465"/>
      <c r="M161" s="465"/>
      <c r="N161" s="465"/>
      <c r="O161" s="465"/>
    </row>
    <row r="162" spans="1:15" ht="15">
      <c r="A162" s="360">
        <v>156</v>
      </c>
      <c r="B162" s="331" t="s">
        <v>482</v>
      </c>
      <c r="C162" s="332">
        <v>27</v>
      </c>
      <c r="D162" s="333">
        <v>29</v>
      </c>
      <c r="E162" s="335">
        <v>20</v>
      </c>
      <c r="F162" s="430">
        <f t="shared" si="2"/>
        <v>20</v>
      </c>
      <c r="G162" s="332">
        <v>77</v>
      </c>
      <c r="H162" s="524"/>
      <c r="I162" s="464"/>
      <c r="J162" s="465"/>
      <c r="K162" s="465"/>
      <c r="L162" s="465"/>
      <c r="M162" s="465"/>
      <c r="N162" s="465"/>
      <c r="O162" s="465"/>
    </row>
    <row r="163" spans="1:15" ht="15">
      <c r="A163" s="360">
        <v>157</v>
      </c>
      <c r="B163" s="331" t="s">
        <v>483</v>
      </c>
      <c r="C163" s="332">
        <v>24</v>
      </c>
      <c r="D163" s="333">
        <v>28</v>
      </c>
      <c r="E163" s="334">
        <v>19</v>
      </c>
      <c r="F163" s="430">
        <f t="shared" si="2"/>
        <v>19</v>
      </c>
      <c r="G163" s="332">
        <v>88</v>
      </c>
      <c r="H163" s="524"/>
      <c r="I163" s="464"/>
      <c r="J163" s="465"/>
      <c r="K163" s="465"/>
      <c r="L163" s="465"/>
      <c r="M163" s="465"/>
      <c r="N163" s="465"/>
      <c r="O163" s="465"/>
    </row>
    <row r="164" spans="1:15" ht="15">
      <c r="A164" s="360">
        <v>158</v>
      </c>
      <c r="B164" s="331" t="s">
        <v>484</v>
      </c>
      <c r="C164" s="332">
        <v>23</v>
      </c>
      <c r="D164" s="333">
        <v>30</v>
      </c>
      <c r="E164" s="334">
        <v>20</v>
      </c>
      <c r="F164" s="430">
        <f t="shared" si="2"/>
        <v>20</v>
      </c>
      <c r="G164" s="332">
        <v>105</v>
      </c>
      <c r="H164" s="524"/>
      <c r="I164" s="464"/>
      <c r="J164" s="465"/>
      <c r="K164" s="465"/>
      <c r="L164" s="465"/>
      <c r="M164" s="465"/>
      <c r="N164" s="465"/>
      <c r="O164" s="465"/>
    </row>
    <row r="165" spans="1:15" ht="15">
      <c r="A165" s="360">
        <v>159</v>
      </c>
      <c r="B165" s="331" t="s">
        <v>485</v>
      </c>
      <c r="C165" s="332">
        <v>25</v>
      </c>
      <c r="D165" s="333">
        <v>27</v>
      </c>
      <c r="E165" s="334">
        <v>18</v>
      </c>
      <c r="F165" s="430">
        <f t="shared" si="2"/>
        <v>18</v>
      </c>
      <c r="G165" s="332">
        <v>50</v>
      </c>
      <c r="H165" s="524"/>
      <c r="I165" s="464"/>
      <c r="J165" s="465"/>
      <c r="K165" s="465"/>
      <c r="L165" s="465"/>
      <c r="M165" s="465"/>
      <c r="N165" s="465"/>
      <c r="O165" s="465"/>
    </row>
    <row r="166" spans="1:15" ht="15">
      <c r="A166" s="360">
        <v>160</v>
      </c>
      <c r="B166" s="331" t="s">
        <v>211</v>
      </c>
      <c r="C166" s="332">
        <v>22</v>
      </c>
      <c r="D166" s="333">
        <v>36</v>
      </c>
      <c r="E166" s="334">
        <v>24</v>
      </c>
      <c r="F166" s="430">
        <f t="shared" si="2"/>
        <v>24</v>
      </c>
      <c r="G166" s="332">
        <v>102</v>
      </c>
      <c r="H166" s="524"/>
      <c r="I166" s="464"/>
      <c r="J166" s="465"/>
      <c r="K166" s="465"/>
      <c r="L166" s="465"/>
      <c r="M166" s="465"/>
      <c r="N166" s="465"/>
      <c r="O166" s="465"/>
    </row>
    <row r="167" spans="1:15" ht="15">
      <c r="A167" s="360">
        <v>161</v>
      </c>
      <c r="B167" s="331" t="s">
        <v>212</v>
      </c>
      <c r="C167" s="332">
        <v>30</v>
      </c>
      <c r="D167" s="333">
        <v>46</v>
      </c>
      <c r="E167" s="334">
        <v>31</v>
      </c>
      <c r="F167" s="430">
        <f t="shared" si="2"/>
        <v>31</v>
      </c>
      <c r="G167" s="332">
        <v>141</v>
      </c>
      <c r="H167" s="524"/>
      <c r="I167" s="464"/>
      <c r="J167" s="465"/>
      <c r="K167" s="465"/>
      <c r="L167" s="465"/>
      <c r="M167" s="465"/>
      <c r="N167" s="465"/>
      <c r="O167" s="465"/>
    </row>
    <row r="168" spans="1:15" ht="15">
      <c r="A168" s="360">
        <v>162</v>
      </c>
      <c r="B168" s="331" t="s">
        <v>269</v>
      </c>
      <c r="C168" s="332">
        <v>21</v>
      </c>
      <c r="D168" s="333">
        <v>32</v>
      </c>
      <c r="E168" s="334">
        <v>21</v>
      </c>
      <c r="F168" s="430">
        <f t="shared" si="2"/>
        <v>21</v>
      </c>
      <c r="G168" s="332">
        <v>100</v>
      </c>
      <c r="H168" s="524"/>
      <c r="I168" s="464"/>
      <c r="J168" s="465"/>
      <c r="K168" s="465"/>
      <c r="L168" s="465"/>
      <c r="M168" s="465"/>
      <c r="N168" s="465"/>
      <c r="O168" s="465"/>
    </row>
    <row r="169" spans="1:15" ht="15">
      <c r="A169" s="360">
        <v>163</v>
      </c>
      <c r="B169" s="331" t="s">
        <v>270</v>
      </c>
      <c r="C169" s="332">
        <v>22</v>
      </c>
      <c r="D169" s="333">
        <v>26</v>
      </c>
      <c r="E169" s="334">
        <v>17</v>
      </c>
      <c r="F169" s="430">
        <f t="shared" si="2"/>
        <v>17</v>
      </c>
      <c r="G169" s="332">
        <v>62</v>
      </c>
      <c r="H169" s="524"/>
      <c r="I169" s="464"/>
      <c r="J169" s="465"/>
      <c r="K169" s="465"/>
      <c r="L169" s="465"/>
      <c r="M169" s="465"/>
      <c r="N169" s="465"/>
      <c r="O169" s="465"/>
    </row>
    <row r="170" spans="1:15" s="317" customFormat="1" ht="15">
      <c r="A170" s="360">
        <v>164</v>
      </c>
      <c r="B170" s="331" t="s">
        <v>505</v>
      </c>
      <c r="C170" s="332">
        <v>20</v>
      </c>
      <c r="D170" s="333">
        <v>28</v>
      </c>
      <c r="E170" s="334">
        <v>19</v>
      </c>
      <c r="F170" s="430">
        <f t="shared" si="2"/>
        <v>19</v>
      </c>
      <c r="G170" s="332">
        <v>84</v>
      </c>
      <c r="H170" s="524"/>
      <c r="I170" s="464"/>
      <c r="J170" s="539"/>
      <c r="K170" s="539"/>
      <c r="L170" s="539"/>
      <c r="M170" s="539"/>
      <c r="N170" s="465"/>
      <c r="O170" s="465"/>
    </row>
    <row r="171" spans="1:15" s="317" customFormat="1" ht="15">
      <c r="A171" s="360">
        <v>165</v>
      </c>
      <c r="B171" s="331" t="s">
        <v>506</v>
      </c>
      <c r="C171" s="332">
        <v>17</v>
      </c>
      <c r="D171" s="333">
        <v>30</v>
      </c>
      <c r="E171" s="334">
        <v>20</v>
      </c>
      <c r="F171" s="430">
        <f t="shared" si="2"/>
        <v>20</v>
      </c>
      <c r="G171" s="332">
        <v>110</v>
      </c>
      <c r="H171" s="524"/>
      <c r="I171" s="464"/>
      <c r="J171" s="539"/>
      <c r="K171" s="539"/>
      <c r="L171" s="539"/>
      <c r="M171" s="539"/>
      <c r="N171" s="465"/>
      <c r="O171" s="465"/>
    </row>
    <row r="172" spans="1:15" ht="15">
      <c r="A172" s="360">
        <v>166</v>
      </c>
      <c r="B172" s="331" t="s">
        <v>507</v>
      </c>
      <c r="C172" s="332">
        <v>30</v>
      </c>
      <c r="D172" s="333">
        <v>26</v>
      </c>
      <c r="E172" s="334">
        <v>17</v>
      </c>
      <c r="F172" s="430">
        <f t="shared" si="2"/>
        <v>17</v>
      </c>
      <c r="G172" s="332">
        <v>114</v>
      </c>
      <c r="H172" s="524"/>
      <c r="I172" s="464"/>
      <c r="J172" s="465"/>
      <c r="K172" s="465"/>
      <c r="L172" s="465"/>
      <c r="M172" s="465"/>
      <c r="N172" s="465"/>
      <c r="O172" s="465"/>
    </row>
    <row r="173" spans="1:15" ht="15">
      <c r="A173" s="360">
        <v>167</v>
      </c>
      <c r="B173" s="331" t="s">
        <v>508</v>
      </c>
      <c r="C173" s="332">
        <v>24</v>
      </c>
      <c r="D173" s="333">
        <v>24</v>
      </c>
      <c r="E173" s="334">
        <v>16</v>
      </c>
      <c r="F173" s="430">
        <f t="shared" si="2"/>
        <v>16</v>
      </c>
      <c r="G173" s="332">
        <v>58</v>
      </c>
      <c r="H173" s="524"/>
      <c r="I173" s="464"/>
      <c r="J173" s="465"/>
      <c r="K173" s="465"/>
      <c r="L173" s="465"/>
      <c r="M173" s="465"/>
      <c r="N173" s="465"/>
      <c r="O173" s="465"/>
    </row>
    <row r="174" spans="1:15" ht="15">
      <c r="A174" s="360">
        <v>168</v>
      </c>
      <c r="B174" s="331" t="s">
        <v>215</v>
      </c>
      <c r="C174" s="332">
        <v>35</v>
      </c>
      <c r="D174" s="333">
        <v>36</v>
      </c>
      <c r="E174" s="334">
        <v>24</v>
      </c>
      <c r="F174" s="430">
        <f t="shared" si="2"/>
        <v>24</v>
      </c>
      <c r="G174" s="332">
        <v>130</v>
      </c>
      <c r="H174" s="524"/>
      <c r="I174" s="524"/>
      <c r="J174" s="524"/>
      <c r="K174" s="524"/>
      <c r="L174" s="465"/>
      <c r="M174" s="465"/>
      <c r="N174" s="465"/>
      <c r="O174" s="465"/>
    </row>
    <row r="175" spans="1:15" ht="15">
      <c r="A175" s="360">
        <v>169</v>
      </c>
      <c r="B175" s="331" t="s">
        <v>216</v>
      </c>
      <c r="C175" s="332">
        <v>34</v>
      </c>
      <c r="D175" s="333">
        <v>29</v>
      </c>
      <c r="E175" s="334">
        <v>20</v>
      </c>
      <c r="F175" s="430">
        <f t="shared" si="2"/>
        <v>20</v>
      </c>
      <c r="G175" s="332">
        <v>85</v>
      </c>
      <c r="H175" s="524"/>
      <c r="I175" s="464"/>
      <c r="J175" s="465"/>
      <c r="K175" s="465"/>
      <c r="L175" s="465"/>
      <c r="M175" s="465"/>
      <c r="N175" s="465"/>
      <c r="O175" s="465"/>
    </row>
    <row r="176" spans="1:15" ht="15">
      <c r="A176" s="360">
        <v>170</v>
      </c>
      <c r="B176" s="331" t="s">
        <v>218</v>
      </c>
      <c r="C176" s="332">
        <v>40</v>
      </c>
      <c r="D176" s="333">
        <v>34</v>
      </c>
      <c r="E176" s="334">
        <v>23</v>
      </c>
      <c r="F176" s="430">
        <f t="shared" si="2"/>
        <v>23</v>
      </c>
      <c r="G176" s="332">
        <v>75</v>
      </c>
      <c r="H176" s="524"/>
      <c r="I176" s="464"/>
      <c r="J176" s="465"/>
      <c r="K176" s="465"/>
      <c r="L176" s="465"/>
      <c r="M176" s="465"/>
      <c r="N176" s="465"/>
      <c r="O176" s="465"/>
    </row>
    <row r="177" spans="1:15" ht="15">
      <c r="A177" s="360">
        <v>171</v>
      </c>
      <c r="B177" s="331" t="s">
        <v>217</v>
      </c>
      <c r="C177" s="332">
        <v>40</v>
      </c>
      <c r="D177" s="333">
        <v>47</v>
      </c>
      <c r="E177" s="334">
        <v>32</v>
      </c>
      <c r="F177" s="430">
        <f t="shared" si="2"/>
        <v>32</v>
      </c>
      <c r="G177" s="332">
        <v>80</v>
      </c>
      <c r="H177" s="524"/>
      <c r="I177" s="464"/>
      <c r="J177" s="465"/>
      <c r="K177" s="465"/>
      <c r="L177" s="465"/>
      <c r="M177" s="465"/>
      <c r="N177" s="465"/>
      <c r="O177" s="465"/>
    </row>
    <row r="178" spans="1:15" ht="15">
      <c r="A178" s="360">
        <v>172</v>
      </c>
      <c r="B178" s="331" t="s">
        <v>486</v>
      </c>
      <c r="C178" s="332">
        <v>39</v>
      </c>
      <c r="D178" s="333">
        <v>38</v>
      </c>
      <c r="E178" s="334">
        <v>25</v>
      </c>
      <c r="F178" s="430">
        <f t="shared" si="2"/>
        <v>25</v>
      </c>
      <c r="G178" s="332">
        <v>234</v>
      </c>
      <c r="H178" s="524"/>
      <c r="I178" s="464"/>
      <c r="J178" s="465"/>
      <c r="K178" s="465"/>
      <c r="L178" s="465"/>
      <c r="M178" s="465"/>
      <c r="N178" s="465"/>
      <c r="O178" s="465"/>
    </row>
    <row r="179" spans="1:15" ht="15">
      <c r="A179" s="360">
        <v>173</v>
      </c>
      <c r="B179" s="331" t="s">
        <v>487</v>
      </c>
      <c r="C179" s="332">
        <v>60</v>
      </c>
      <c r="D179" s="333">
        <v>48</v>
      </c>
      <c r="E179" s="334">
        <v>32</v>
      </c>
      <c r="F179" s="430">
        <f t="shared" si="2"/>
        <v>32</v>
      </c>
      <c r="G179" s="332">
        <v>179</v>
      </c>
      <c r="H179" s="524"/>
      <c r="I179" s="464"/>
      <c r="J179" s="465"/>
      <c r="K179" s="465"/>
      <c r="L179" s="465"/>
      <c r="M179" s="465"/>
      <c r="N179" s="465"/>
      <c r="O179" s="465"/>
    </row>
    <row r="180" spans="1:15" ht="15">
      <c r="A180" s="360">
        <v>174</v>
      </c>
      <c r="B180" s="331" t="s">
        <v>488</v>
      </c>
      <c r="C180" s="332">
        <v>51</v>
      </c>
      <c r="D180" s="333">
        <v>48</v>
      </c>
      <c r="E180" s="334">
        <v>32</v>
      </c>
      <c r="F180" s="430">
        <f t="shared" si="2"/>
        <v>32</v>
      </c>
      <c r="G180" s="332">
        <v>80</v>
      </c>
      <c r="H180" s="524"/>
      <c r="I180" s="464"/>
      <c r="J180" s="465"/>
      <c r="K180" s="465"/>
      <c r="L180" s="465"/>
      <c r="M180" s="465"/>
      <c r="N180" s="465"/>
      <c r="O180" s="465"/>
    </row>
    <row r="181" spans="1:15" ht="15">
      <c r="A181" s="360">
        <v>175</v>
      </c>
      <c r="B181" s="331" t="s">
        <v>220</v>
      </c>
      <c r="C181" s="332">
        <v>40</v>
      </c>
      <c r="D181" s="333">
        <v>50</v>
      </c>
      <c r="E181" s="334">
        <v>33</v>
      </c>
      <c r="F181" s="430">
        <f t="shared" si="2"/>
        <v>33</v>
      </c>
      <c r="G181" s="332">
        <v>168</v>
      </c>
      <c r="H181" s="524"/>
      <c r="I181" s="464"/>
      <c r="J181" s="465"/>
      <c r="K181" s="465"/>
      <c r="L181" s="465"/>
      <c r="M181" s="465"/>
      <c r="N181" s="465"/>
      <c r="O181" s="465"/>
    </row>
    <row r="182" spans="1:15" ht="15">
      <c r="A182" s="360">
        <v>176</v>
      </c>
      <c r="B182" s="331" t="s">
        <v>489</v>
      </c>
      <c r="C182" s="332">
        <v>39</v>
      </c>
      <c r="D182" s="333">
        <v>64</v>
      </c>
      <c r="E182" s="334">
        <v>43</v>
      </c>
      <c r="F182" s="430">
        <f t="shared" si="2"/>
        <v>43</v>
      </c>
      <c r="G182" s="332">
        <v>195</v>
      </c>
      <c r="H182" s="524"/>
      <c r="I182" s="464"/>
      <c r="J182" s="465"/>
      <c r="K182" s="465"/>
      <c r="L182" s="465"/>
      <c r="M182" s="465"/>
      <c r="N182" s="465"/>
      <c r="O182" s="465"/>
    </row>
    <row r="183" spans="1:15" ht="15">
      <c r="A183" s="360">
        <v>177</v>
      </c>
      <c r="B183" s="331" t="s">
        <v>490</v>
      </c>
      <c r="C183" s="332">
        <v>25</v>
      </c>
      <c r="D183" s="333">
        <v>62</v>
      </c>
      <c r="E183" s="334">
        <v>41</v>
      </c>
      <c r="F183" s="430">
        <f t="shared" si="2"/>
        <v>41</v>
      </c>
      <c r="G183" s="332">
        <v>169</v>
      </c>
      <c r="H183" s="524"/>
      <c r="I183" s="464"/>
      <c r="J183" s="465"/>
      <c r="K183" s="465"/>
      <c r="L183" s="465"/>
      <c r="M183" s="465"/>
      <c r="N183" s="465"/>
      <c r="O183" s="465"/>
    </row>
    <row r="184" spans="1:15" ht="15">
      <c r="A184" s="360">
        <v>178</v>
      </c>
      <c r="B184" s="331" t="s">
        <v>222</v>
      </c>
      <c r="C184" s="332">
        <v>32</v>
      </c>
      <c r="D184" s="333">
        <v>45</v>
      </c>
      <c r="E184" s="334">
        <v>30</v>
      </c>
      <c r="F184" s="430">
        <f t="shared" si="2"/>
        <v>30</v>
      </c>
      <c r="G184" s="332">
        <v>128</v>
      </c>
      <c r="H184" s="524"/>
      <c r="I184" s="464"/>
      <c r="J184" s="465"/>
      <c r="K184" s="465"/>
      <c r="L184" s="465"/>
      <c r="M184" s="465"/>
      <c r="N184" s="465"/>
      <c r="O184" s="465"/>
    </row>
    <row r="185" spans="1:15" ht="15">
      <c r="A185" s="360">
        <v>179</v>
      </c>
      <c r="B185" s="331" t="s">
        <v>223</v>
      </c>
      <c r="C185" s="332">
        <v>37</v>
      </c>
      <c r="D185" s="333">
        <v>20</v>
      </c>
      <c r="E185" s="334">
        <v>13</v>
      </c>
      <c r="F185" s="430">
        <f t="shared" si="2"/>
        <v>13</v>
      </c>
      <c r="G185" s="332">
        <v>74</v>
      </c>
      <c r="H185" s="524"/>
      <c r="I185" s="464"/>
      <c r="J185" s="465"/>
      <c r="K185" s="465"/>
      <c r="L185" s="465"/>
      <c r="M185" s="465"/>
      <c r="N185" s="465"/>
      <c r="O185" s="465"/>
    </row>
    <row r="186" spans="1:15" ht="15">
      <c r="A186" s="360">
        <v>180</v>
      </c>
      <c r="B186" s="331" t="s">
        <v>224</v>
      </c>
      <c r="C186" s="332">
        <v>44</v>
      </c>
      <c r="D186" s="333">
        <v>39</v>
      </c>
      <c r="E186" s="334">
        <v>26</v>
      </c>
      <c r="F186" s="430">
        <f t="shared" si="2"/>
        <v>26</v>
      </c>
      <c r="G186" s="332">
        <v>82</v>
      </c>
      <c r="H186" s="524"/>
      <c r="I186" s="464"/>
      <c r="J186" s="465"/>
      <c r="K186" s="465"/>
      <c r="L186" s="465"/>
      <c r="M186" s="465"/>
      <c r="N186" s="465"/>
      <c r="O186" s="465"/>
    </row>
    <row r="187" spans="1:15" ht="15">
      <c r="A187" s="360">
        <v>181</v>
      </c>
      <c r="B187" s="331" t="s">
        <v>225</v>
      </c>
      <c r="C187" s="332">
        <v>20</v>
      </c>
      <c r="D187" s="333">
        <v>45</v>
      </c>
      <c r="E187" s="334">
        <v>30</v>
      </c>
      <c r="F187" s="430">
        <f t="shared" si="2"/>
        <v>30</v>
      </c>
      <c r="G187" s="332">
        <v>103</v>
      </c>
      <c r="H187" s="524"/>
      <c r="I187" s="464"/>
      <c r="J187" s="465"/>
      <c r="K187" s="465"/>
      <c r="L187" s="465"/>
      <c r="M187" s="465"/>
      <c r="N187" s="465"/>
      <c r="O187" s="465"/>
    </row>
    <row r="188" spans="1:15" ht="15">
      <c r="A188" s="360">
        <v>182</v>
      </c>
      <c r="B188" s="331" t="s">
        <v>226</v>
      </c>
      <c r="C188" s="332">
        <v>25</v>
      </c>
      <c r="D188" s="333">
        <v>53</v>
      </c>
      <c r="E188" s="334">
        <v>36</v>
      </c>
      <c r="F188" s="430">
        <f t="shared" si="2"/>
        <v>36</v>
      </c>
      <c r="G188" s="332">
        <v>188</v>
      </c>
      <c r="H188" s="524"/>
      <c r="I188" s="464"/>
      <c r="J188" s="465"/>
      <c r="K188" s="465"/>
      <c r="L188" s="465"/>
      <c r="M188" s="465"/>
      <c r="N188" s="465"/>
      <c r="O188" s="465"/>
    </row>
    <row r="189" spans="1:15" ht="15">
      <c r="A189" s="360">
        <v>183</v>
      </c>
      <c r="B189" s="331" t="s">
        <v>227</v>
      </c>
      <c r="C189" s="332">
        <v>26</v>
      </c>
      <c r="D189" s="333">
        <v>24</v>
      </c>
      <c r="E189" s="334">
        <v>16</v>
      </c>
      <c r="F189" s="430">
        <f t="shared" si="2"/>
        <v>16</v>
      </c>
      <c r="G189" s="332">
        <v>85</v>
      </c>
      <c r="H189" s="524"/>
      <c r="I189" s="464"/>
      <c r="J189" s="465"/>
      <c r="K189" s="465"/>
      <c r="L189" s="465"/>
      <c r="M189" s="465"/>
      <c r="N189" s="465"/>
      <c r="O189" s="465"/>
    </row>
    <row r="190" spans="1:15" ht="15">
      <c r="A190" s="360">
        <v>184</v>
      </c>
      <c r="B190" s="331" t="s">
        <v>228</v>
      </c>
      <c r="C190" s="332">
        <v>26</v>
      </c>
      <c r="D190" s="333">
        <v>33</v>
      </c>
      <c r="E190" s="334">
        <v>22</v>
      </c>
      <c r="F190" s="430">
        <f t="shared" si="2"/>
        <v>22</v>
      </c>
      <c r="G190" s="332">
        <v>95</v>
      </c>
      <c r="H190" s="524"/>
      <c r="I190" s="464"/>
      <c r="J190" s="465"/>
      <c r="K190" s="465"/>
      <c r="L190" s="465"/>
      <c r="M190" s="465"/>
      <c r="N190" s="465"/>
      <c r="O190" s="465"/>
    </row>
    <row r="191" spans="1:15" ht="15">
      <c r="A191" s="360">
        <v>185</v>
      </c>
      <c r="B191" s="331" t="s">
        <v>491</v>
      </c>
      <c r="C191" s="332">
        <v>34</v>
      </c>
      <c r="D191" s="333">
        <v>32</v>
      </c>
      <c r="E191" s="334">
        <v>21</v>
      </c>
      <c r="F191" s="430">
        <f t="shared" si="2"/>
        <v>21</v>
      </c>
      <c r="G191" s="332">
        <v>118</v>
      </c>
      <c r="H191" s="524"/>
      <c r="I191" s="464"/>
      <c r="J191" s="465"/>
      <c r="K191" s="465"/>
      <c r="L191" s="465"/>
      <c r="M191" s="465"/>
      <c r="N191" s="465"/>
      <c r="O191" s="465"/>
    </row>
    <row r="192" spans="1:15" ht="15">
      <c r="A192" s="360">
        <v>186</v>
      </c>
      <c r="B192" s="331" t="s">
        <v>492</v>
      </c>
      <c r="C192" s="332">
        <v>26</v>
      </c>
      <c r="D192" s="333">
        <v>32</v>
      </c>
      <c r="E192" s="334">
        <v>21</v>
      </c>
      <c r="F192" s="430">
        <f t="shared" si="2"/>
        <v>21</v>
      </c>
      <c r="G192" s="332">
        <v>98</v>
      </c>
      <c r="H192" s="524"/>
      <c r="I192" s="464"/>
      <c r="J192" s="465"/>
      <c r="K192" s="465"/>
      <c r="L192" s="465"/>
      <c r="M192" s="465"/>
      <c r="N192" s="465"/>
      <c r="O192" s="465"/>
    </row>
    <row r="193" spans="1:15" ht="15">
      <c r="A193" s="360">
        <v>187</v>
      </c>
      <c r="B193" s="331" t="s">
        <v>493</v>
      </c>
      <c r="C193" s="332">
        <v>24</v>
      </c>
      <c r="D193" s="333">
        <v>41</v>
      </c>
      <c r="E193" s="334">
        <v>28</v>
      </c>
      <c r="F193" s="430">
        <f t="shared" si="2"/>
        <v>28</v>
      </c>
      <c r="G193" s="332">
        <v>113</v>
      </c>
      <c r="H193" s="524"/>
      <c r="I193" s="464"/>
      <c r="J193" s="465"/>
      <c r="K193" s="465"/>
      <c r="L193" s="465"/>
      <c r="M193" s="465"/>
      <c r="N193" s="465"/>
      <c r="O193" s="465"/>
    </row>
    <row r="194" spans="1:15" ht="15">
      <c r="A194" s="360">
        <v>188</v>
      </c>
      <c r="B194" s="331" t="s">
        <v>494</v>
      </c>
      <c r="C194" s="332">
        <v>33</v>
      </c>
      <c r="D194" s="333">
        <v>32</v>
      </c>
      <c r="E194" s="334">
        <v>21</v>
      </c>
      <c r="F194" s="430">
        <f t="shared" si="2"/>
        <v>21</v>
      </c>
      <c r="G194" s="332">
        <v>110</v>
      </c>
      <c r="H194" s="524"/>
      <c r="I194" s="464"/>
      <c r="J194" s="465"/>
      <c r="K194" s="465"/>
      <c r="L194" s="465"/>
      <c r="M194" s="465"/>
      <c r="N194" s="465"/>
      <c r="O194" s="465"/>
    </row>
    <row r="195" spans="1:15" ht="15">
      <c r="A195" s="360">
        <v>189</v>
      </c>
      <c r="B195" s="331" t="s">
        <v>495</v>
      </c>
      <c r="C195" s="332">
        <v>37</v>
      </c>
      <c r="D195" s="333">
        <v>29</v>
      </c>
      <c r="E195" s="334">
        <v>20</v>
      </c>
      <c r="F195" s="430">
        <f t="shared" si="2"/>
        <v>20</v>
      </c>
      <c r="G195" s="436">
        <v>88</v>
      </c>
      <c r="H195" s="524"/>
      <c r="I195" s="464"/>
      <c r="J195" s="465"/>
      <c r="K195" s="465"/>
      <c r="L195" s="465"/>
      <c r="M195" s="465"/>
      <c r="N195" s="465"/>
      <c r="O195" s="465"/>
    </row>
    <row r="196" spans="1:15" ht="15">
      <c r="A196" s="360">
        <v>190</v>
      </c>
      <c r="B196" s="331" t="s">
        <v>230</v>
      </c>
      <c r="C196" s="332">
        <v>45</v>
      </c>
      <c r="D196" s="333">
        <v>42</v>
      </c>
      <c r="E196" s="334">
        <v>28</v>
      </c>
      <c r="F196" s="430">
        <f t="shared" si="2"/>
        <v>28</v>
      </c>
      <c r="G196" s="332">
        <v>100</v>
      </c>
      <c r="H196" s="524"/>
      <c r="I196" s="464"/>
      <c r="J196" s="465"/>
      <c r="K196" s="465"/>
      <c r="L196" s="465"/>
      <c r="M196" s="465"/>
      <c r="N196" s="465"/>
      <c r="O196" s="465"/>
    </row>
    <row r="197" spans="1:15" ht="15">
      <c r="A197" s="360">
        <v>191</v>
      </c>
      <c r="B197" s="519" t="s">
        <v>231</v>
      </c>
      <c r="C197" s="520">
        <v>43</v>
      </c>
      <c r="D197" s="521">
        <v>45</v>
      </c>
      <c r="E197" s="522">
        <v>30</v>
      </c>
      <c r="F197" s="430">
        <f t="shared" si="2"/>
        <v>30</v>
      </c>
      <c r="G197" s="520">
        <v>99</v>
      </c>
      <c r="H197" s="524"/>
      <c r="I197" s="464"/>
      <c r="J197" s="465"/>
      <c r="K197" s="465"/>
      <c r="L197" s="465"/>
      <c r="M197" s="465"/>
      <c r="N197" s="465"/>
      <c r="O197" s="465"/>
    </row>
    <row r="198" spans="1:15" ht="15">
      <c r="A198" s="360">
        <v>192</v>
      </c>
      <c r="B198" s="519" t="s">
        <v>232</v>
      </c>
      <c r="C198" s="520">
        <v>29</v>
      </c>
      <c r="D198" s="521">
        <v>54</v>
      </c>
      <c r="E198" s="522">
        <v>36</v>
      </c>
      <c r="F198" s="430">
        <f t="shared" si="2"/>
        <v>36</v>
      </c>
      <c r="G198" s="520">
        <v>129</v>
      </c>
      <c r="H198" s="524"/>
      <c r="I198" s="464"/>
      <c r="J198" s="465"/>
      <c r="K198" s="465"/>
      <c r="L198" s="465"/>
      <c r="M198" s="465"/>
      <c r="N198" s="465"/>
      <c r="O198" s="465"/>
    </row>
    <row r="199" spans="1:15" ht="15">
      <c r="A199" s="360">
        <v>193</v>
      </c>
      <c r="B199" s="519" t="s">
        <v>233</v>
      </c>
      <c r="C199" s="520">
        <v>31</v>
      </c>
      <c r="D199" s="521">
        <v>52</v>
      </c>
      <c r="E199" s="522">
        <v>35</v>
      </c>
      <c r="F199" s="430">
        <f aca="true" t="shared" si="3" ref="F199:F244">E199</f>
        <v>35</v>
      </c>
      <c r="G199" s="520">
        <v>121</v>
      </c>
      <c r="H199" s="524"/>
      <c r="I199" s="464"/>
      <c r="J199" s="465"/>
      <c r="K199" s="465"/>
      <c r="L199" s="465"/>
      <c r="M199" s="465"/>
      <c r="N199" s="465"/>
      <c r="O199" s="465"/>
    </row>
    <row r="200" spans="1:15" ht="15">
      <c r="A200" s="360">
        <v>194</v>
      </c>
      <c r="B200" s="519" t="s">
        <v>234</v>
      </c>
      <c r="C200" s="520"/>
      <c r="D200" s="521">
        <v>35</v>
      </c>
      <c r="E200" s="522">
        <v>24</v>
      </c>
      <c r="F200" s="430">
        <f t="shared" si="3"/>
        <v>24</v>
      </c>
      <c r="G200" s="520">
        <v>115</v>
      </c>
      <c r="H200" s="524"/>
      <c r="I200" s="464"/>
      <c r="J200" s="465"/>
      <c r="K200" s="465"/>
      <c r="L200" s="465"/>
      <c r="M200" s="465"/>
      <c r="N200" s="465"/>
      <c r="O200" s="465"/>
    </row>
    <row r="201" spans="1:15" ht="15">
      <c r="A201" s="360">
        <v>195</v>
      </c>
      <c r="B201" s="519" t="s">
        <v>496</v>
      </c>
      <c r="C201" s="520">
        <v>30</v>
      </c>
      <c r="D201" s="521">
        <v>27</v>
      </c>
      <c r="E201" s="522">
        <v>18</v>
      </c>
      <c r="F201" s="430">
        <f t="shared" si="3"/>
        <v>18</v>
      </c>
      <c r="G201" s="520">
        <v>112</v>
      </c>
      <c r="H201" s="524"/>
      <c r="I201" s="464"/>
      <c r="J201" s="465"/>
      <c r="K201" s="465"/>
      <c r="L201" s="465"/>
      <c r="M201" s="465"/>
      <c r="N201" s="465"/>
      <c r="O201" s="465"/>
    </row>
    <row r="202" spans="1:15" s="316" customFormat="1" ht="15">
      <c r="A202" s="360">
        <v>196</v>
      </c>
      <c r="B202" s="519" t="s">
        <v>497</v>
      </c>
      <c r="C202" s="520">
        <v>44</v>
      </c>
      <c r="D202" s="521">
        <v>29</v>
      </c>
      <c r="E202" s="522">
        <v>20</v>
      </c>
      <c r="F202" s="430">
        <f t="shared" si="3"/>
        <v>20</v>
      </c>
      <c r="G202" s="520">
        <v>124</v>
      </c>
      <c r="H202" s="524"/>
      <c r="I202" s="464"/>
      <c r="J202" s="537"/>
      <c r="K202" s="537"/>
      <c r="L202" s="537"/>
      <c r="M202" s="537"/>
      <c r="N202" s="537"/>
      <c r="O202" s="537"/>
    </row>
    <row r="203" spans="1:15" ht="15">
      <c r="A203" s="360">
        <v>197</v>
      </c>
      <c r="B203" s="519" t="s">
        <v>498</v>
      </c>
      <c r="C203" s="520">
        <v>25</v>
      </c>
      <c r="D203" s="521">
        <v>22</v>
      </c>
      <c r="E203" s="522">
        <v>15</v>
      </c>
      <c r="F203" s="430">
        <f t="shared" si="3"/>
        <v>15</v>
      </c>
      <c r="G203" s="520">
        <v>94</v>
      </c>
      <c r="H203" s="524"/>
      <c r="I203" s="464"/>
      <c r="J203" s="465"/>
      <c r="K203" s="465"/>
      <c r="L203" s="465"/>
      <c r="M203" s="465"/>
      <c r="N203" s="465"/>
      <c r="O203" s="465"/>
    </row>
    <row r="204" spans="1:15" ht="15">
      <c r="A204" s="360">
        <v>198</v>
      </c>
      <c r="B204" s="331" t="s">
        <v>236</v>
      </c>
      <c r="C204" s="332">
        <v>31</v>
      </c>
      <c r="D204" s="333">
        <v>34</v>
      </c>
      <c r="E204" s="334">
        <v>23</v>
      </c>
      <c r="F204" s="430">
        <f t="shared" si="3"/>
        <v>23</v>
      </c>
      <c r="G204" s="332">
        <v>150</v>
      </c>
      <c r="H204" s="524"/>
      <c r="I204" s="464"/>
      <c r="J204" s="465"/>
      <c r="K204" s="465"/>
      <c r="L204" s="465"/>
      <c r="M204" s="465"/>
      <c r="N204" s="465"/>
      <c r="O204" s="465"/>
    </row>
    <row r="205" spans="1:15" ht="15">
      <c r="A205" s="360">
        <v>199</v>
      </c>
      <c r="B205" s="331" t="s">
        <v>237</v>
      </c>
      <c r="C205" s="332">
        <v>21</v>
      </c>
      <c r="D205" s="333">
        <v>41</v>
      </c>
      <c r="E205" s="334">
        <v>28</v>
      </c>
      <c r="F205" s="430">
        <f t="shared" si="3"/>
        <v>28</v>
      </c>
      <c r="G205" s="332">
        <v>108</v>
      </c>
      <c r="H205" s="524"/>
      <c r="I205" s="464"/>
      <c r="J205" s="465"/>
      <c r="K205" s="465"/>
      <c r="L205" s="465"/>
      <c r="M205" s="465"/>
      <c r="N205" s="465"/>
      <c r="O205" s="465"/>
    </row>
    <row r="206" spans="1:15" ht="15">
      <c r="A206" s="360">
        <v>200</v>
      </c>
      <c r="B206" s="331" t="s">
        <v>238</v>
      </c>
      <c r="C206" s="332">
        <v>32</v>
      </c>
      <c r="D206" s="333">
        <v>38</v>
      </c>
      <c r="E206" s="334">
        <v>25</v>
      </c>
      <c r="F206" s="430">
        <f t="shared" si="3"/>
        <v>25</v>
      </c>
      <c r="G206" s="332">
        <v>140</v>
      </c>
      <c r="H206" s="524"/>
      <c r="I206" s="464"/>
      <c r="J206" s="465"/>
      <c r="K206" s="465"/>
      <c r="L206" s="465"/>
      <c r="M206" s="465"/>
      <c r="N206" s="465"/>
      <c r="O206" s="465"/>
    </row>
    <row r="207" spans="1:15" ht="15">
      <c r="A207" s="360">
        <v>201</v>
      </c>
      <c r="B207" s="331" t="s">
        <v>239</v>
      </c>
      <c r="C207" s="332">
        <v>33</v>
      </c>
      <c r="D207" s="333">
        <v>26</v>
      </c>
      <c r="E207" s="334">
        <v>17</v>
      </c>
      <c r="F207" s="430">
        <f t="shared" si="3"/>
        <v>17</v>
      </c>
      <c r="G207" s="332">
        <v>67</v>
      </c>
      <c r="H207" s="524"/>
      <c r="I207" s="524"/>
      <c r="J207" s="524"/>
      <c r="K207" s="524"/>
      <c r="L207" s="465"/>
      <c r="M207" s="465"/>
      <c r="N207" s="465"/>
      <c r="O207" s="465"/>
    </row>
    <row r="208" spans="1:15" ht="15">
      <c r="A208" s="360">
        <v>202</v>
      </c>
      <c r="B208" s="331" t="s">
        <v>240</v>
      </c>
      <c r="C208" s="332">
        <v>26</v>
      </c>
      <c r="D208" s="333">
        <v>51</v>
      </c>
      <c r="E208" s="334">
        <v>34</v>
      </c>
      <c r="F208" s="430">
        <f t="shared" si="3"/>
        <v>34</v>
      </c>
      <c r="G208" s="332">
        <v>126</v>
      </c>
      <c r="H208" s="524"/>
      <c r="I208" s="464"/>
      <c r="J208" s="465"/>
      <c r="K208" s="465"/>
      <c r="L208" s="465"/>
      <c r="M208" s="465"/>
      <c r="N208" s="465"/>
      <c r="O208" s="465"/>
    </row>
    <row r="209" spans="1:15" ht="15">
      <c r="A209" s="360">
        <v>203</v>
      </c>
      <c r="B209" s="331" t="s">
        <v>241</v>
      </c>
      <c r="C209" s="332">
        <v>29</v>
      </c>
      <c r="D209" s="333">
        <v>47</v>
      </c>
      <c r="E209" s="334">
        <v>32</v>
      </c>
      <c r="F209" s="430">
        <f t="shared" si="3"/>
        <v>32</v>
      </c>
      <c r="G209" s="332">
        <v>201</v>
      </c>
      <c r="H209" s="524"/>
      <c r="I209" s="464"/>
      <c r="J209" s="465"/>
      <c r="K209" s="465"/>
      <c r="L209" s="465"/>
      <c r="M209" s="465"/>
      <c r="N209" s="465"/>
      <c r="O209" s="465"/>
    </row>
    <row r="210" spans="1:15" ht="15">
      <c r="A210" s="360">
        <v>204</v>
      </c>
      <c r="B210" s="331" t="s">
        <v>242</v>
      </c>
      <c r="C210" s="332">
        <v>26</v>
      </c>
      <c r="D210" s="333">
        <v>32</v>
      </c>
      <c r="E210" s="334">
        <v>21</v>
      </c>
      <c r="F210" s="430">
        <f t="shared" si="3"/>
        <v>21</v>
      </c>
      <c r="G210" s="332">
        <v>118</v>
      </c>
      <c r="H210" s="524"/>
      <c r="I210" s="464"/>
      <c r="J210" s="465"/>
      <c r="K210" s="465"/>
      <c r="L210" s="465"/>
      <c r="M210" s="465"/>
      <c r="N210" s="465"/>
      <c r="O210" s="465"/>
    </row>
    <row r="211" spans="1:15" ht="15">
      <c r="A211" s="360">
        <v>205</v>
      </c>
      <c r="B211" s="331" t="s">
        <v>243</v>
      </c>
      <c r="C211" s="332">
        <v>45</v>
      </c>
      <c r="D211" s="333">
        <v>35</v>
      </c>
      <c r="E211" s="334">
        <v>24</v>
      </c>
      <c r="F211" s="430">
        <f t="shared" si="3"/>
        <v>24</v>
      </c>
      <c r="G211" s="332">
        <v>108</v>
      </c>
      <c r="H211" s="524"/>
      <c r="I211" s="464"/>
      <c r="J211" s="465"/>
      <c r="K211" s="465"/>
      <c r="L211" s="465"/>
      <c r="M211" s="465"/>
      <c r="N211" s="465"/>
      <c r="O211" s="465"/>
    </row>
    <row r="212" spans="1:15" ht="15">
      <c r="A212" s="360">
        <v>206</v>
      </c>
      <c r="B212" s="331" t="s">
        <v>244</v>
      </c>
      <c r="C212" s="332">
        <v>39</v>
      </c>
      <c r="D212" s="333">
        <v>39</v>
      </c>
      <c r="E212" s="334">
        <v>26</v>
      </c>
      <c r="F212" s="430">
        <f t="shared" si="3"/>
        <v>26</v>
      </c>
      <c r="G212" s="332">
        <v>94</v>
      </c>
      <c r="H212" s="524"/>
      <c r="I212" s="464"/>
      <c r="J212" s="465"/>
      <c r="K212" s="465"/>
      <c r="L212" s="465"/>
      <c r="M212" s="465"/>
      <c r="N212" s="465"/>
      <c r="O212" s="465"/>
    </row>
    <row r="213" spans="1:15" ht="15">
      <c r="A213" s="360">
        <v>207</v>
      </c>
      <c r="B213" s="331" t="s">
        <v>245</v>
      </c>
      <c r="C213" s="332">
        <v>20</v>
      </c>
      <c r="D213" s="333">
        <v>54</v>
      </c>
      <c r="E213" s="334">
        <v>36</v>
      </c>
      <c r="F213" s="430">
        <f t="shared" si="3"/>
        <v>36</v>
      </c>
      <c r="G213" s="332">
        <v>164</v>
      </c>
      <c r="H213" s="524"/>
      <c r="I213" s="464"/>
      <c r="J213" s="465"/>
      <c r="K213" s="465"/>
      <c r="L213" s="465"/>
      <c r="M213" s="465"/>
      <c r="N213" s="465"/>
      <c r="O213" s="465"/>
    </row>
    <row r="214" spans="1:15" ht="15">
      <c r="A214" s="360">
        <v>208</v>
      </c>
      <c r="B214" s="331" t="s">
        <v>246</v>
      </c>
      <c r="C214" s="332">
        <v>29</v>
      </c>
      <c r="D214" s="333">
        <v>64</v>
      </c>
      <c r="E214" s="334">
        <v>43</v>
      </c>
      <c r="F214" s="430">
        <f t="shared" si="3"/>
        <v>43</v>
      </c>
      <c r="G214" s="332">
        <v>163</v>
      </c>
      <c r="H214" s="524"/>
      <c r="I214" s="464"/>
      <c r="J214" s="465"/>
      <c r="K214" s="465"/>
      <c r="L214" s="465"/>
      <c r="M214" s="465"/>
      <c r="N214" s="465"/>
      <c r="O214" s="465"/>
    </row>
    <row r="215" spans="1:15" ht="15">
      <c r="A215" s="360">
        <v>209</v>
      </c>
      <c r="B215" s="331" t="s">
        <v>247</v>
      </c>
      <c r="C215" s="332">
        <v>35</v>
      </c>
      <c r="D215" s="333">
        <v>35</v>
      </c>
      <c r="E215" s="334">
        <v>24</v>
      </c>
      <c r="F215" s="430">
        <f t="shared" si="3"/>
        <v>24</v>
      </c>
      <c r="G215" s="332">
        <v>94</v>
      </c>
      <c r="H215" s="524"/>
      <c r="I215" s="464"/>
      <c r="J215" s="465"/>
      <c r="K215" s="465"/>
      <c r="L215" s="465"/>
      <c r="M215" s="465"/>
      <c r="N215" s="465"/>
      <c r="O215" s="465"/>
    </row>
    <row r="216" spans="1:15" ht="15">
      <c r="A216" s="360">
        <v>210</v>
      </c>
      <c r="B216" s="331" t="s">
        <v>499</v>
      </c>
      <c r="C216" s="332">
        <v>33</v>
      </c>
      <c r="D216" s="333">
        <v>35</v>
      </c>
      <c r="E216" s="334">
        <v>24</v>
      </c>
      <c r="F216" s="430">
        <f t="shared" si="3"/>
        <v>24</v>
      </c>
      <c r="G216" s="332">
        <v>104</v>
      </c>
      <c r="H216" s="524"/>
      <c r="I216" s="464"/>
      <c r="J216" s="465"/>
      <c r="K216" s="465"/>
      <c r="L216" s="465"/>
      <c r="M216" s="465"/>
      <c r="N216" s="465"/>
      <c r="O216" s="465"/>
    </row>
    <row r="217" spans="1:15" ht="15">
      <c r="A217" s="360">
        <v>211</v>
      </c>
      <c r="B217" s="331" t="s">
        <v>500</v>
      </c>
      <c r="C217" s="332">
        <v>27</v>
      </c>
      <c r="D217" s="333">
        <v>42</v>
      </c>
      <c r="E217" s="334">
        <v>28</v>
      </c>
      <c r="F217" s="430">
        <f t="shared" si="3"/>
        <v>28</v>
      </c>
      <c r="G217" s="332">
        <v>80</v>
      </c>
      <c r="H217" s="524"/>
      <c r="I217" s="464"/>
      <c r="J217" s="465"/>
      <c r="K217" s="465"/>
      <c r="L217" s="465"/>
      <c r="M217" s="465"/>
      <c r="N217" s="465"/>
      <c r="O217" s="465"/>
    </row>
    <row r="218" spans="1:15" ht="15">
      <c r="A218" s="360">
        <v>212</v>
      </c>
      <c r="B218" s="331" t="s">
        <v>501</v>
      </c>
      <c r="C218" s="332">
        <v>27</v>
      </c>
      <c r="D218" s="333">
        <v>40</v>
      </c>
      <c r="E218" s="334">
        <v>27</v>
      </c>
      <c r="F218" s="430">
        <f t="shared" si="3"/>
        <v>27</v>
      </c>
      <c r="G218" s="332">
        <v>78</v>
      </c>
      <c r="H218" s="524"/>
      <c r="I218" s="464"/>
      <c r="J218" s="465"/>
      <c r="K218" s="465"/>
      <c r="L218" s="465"/>
      <c r="M218" s="465"/>
      <c r="N218" s="465"/>
      <c r="O218" s="465"/>
    </row>
    <row r="219" spans="1:15" ht="15">
      <c r="A219" s="360">
        <v>213</v>
      </c>
      <c r="B219" s="331" t="s">
        <v>249</v>
      </c>
      <c r="C219" s="332">
        <v>29</v>
      </c>
      <c r="D219" s="333">
        <v>40</v>
      </c>
      <c r="E219" s="334">
        <v>27</v>
      </c>
      <c r="F219" s="430">
        <f t="shared" si="3"/>
        <v>27</v>
      </c>
      <c r="G219" s="332">
        <v>115</v>
      </c>
      <c r="H219" s="524"/>
      <c r="I219" s="464"/>
      <c r="J219" s="465"/>
      <c r="K219" s="465"/>
      <c r="L219" s="465"/>
      <c r="M219" s="465"/>
      <c r="N219" s="465"/>
      <c r="O219" s="465"/>
    </row>
    <row r="220" spans="1:15" ht="15">
      <c r="A220" s="360">
        <v>214</v>
      </c>
      <c r="B220" s="331" t="s">
        <v>250</v>
      </c>
      <c r="C220" s="332">
        <v>30</v>
      </c>
      <c r="D220" s="333">
        <v>33</v>
      </c>
      <c r="E220" s="334">
        <v>22</v>
      </c>
      <c r="F220" s="430">
        <f t="shared" si="3"/>
        <v>22</v>
      </c>
      <c r="G220" s="332">
        <v>108</v>
      </c>
      <c r="H220" s="524"/>
      <c r="I220" s="464"/>
      <c r="J220" s="465"/>
      <c r="K220" s="465"/>
      <c r="L220" s="465"/>
      <c r="M220" s="465"/>
      <c r="N220" s="465"/>
      <c r="O220" s="465"/>
    </row>
    <row r="221" spans="1:15" ht="15">
      <c r="A221" s="360">
        <v>215</v>
      </c>
      <c r="B221" s="331" t="s">
        <v>251</v>
      </c>
      <c r="C221" s="332">
        <v>25</v>
      </c>
      <c r="D221" s="333">
        <v>35</v>
      </c>
      <c r="E221" s="334">
        <v>24</v>
      </c>
      <c r="F221" s="430">
        <f t="shared" si="3"/>
        <v>24</v>
      </c>
      <c r="G221" s="332">
        <v>129</v>
      </c>
      <c r="H221" s="524"/>
      <c r="I221" s="464"/>
      <c r="J221" s="465"/>
      <c r="K221" s="465"/>
      <c r="L221" s="465"/>
      <c r="M221" s="465"/>
      <c r="N221" s="465"/>
      <c r="O221" s="465"/>
    </row>
    <row r="222" spans="1:15" ht="15">
      <c r="A222" s="360">
        <v>216</v>
      </c>
      <c r="B222" s="331" t="s">
        <v>252</v>
      </c>
      <c r="C222" s="332">
        <v>36</v>
      </c>
      <c r="D222" s="333">
        <v>32</v>
      </c>
      <c r="E222" s="334">
        <v>21</v>
      </c>
      <c r="F222" s="430">
        <f t="shared" si="3"/>
        <v>21</v>
      </c>
      <c r="G222" s="332">
        <v>98</v>
      </c>
      <c r="H222" s="524"/>
      <c r="I222" s="464"/>
      <c r="J222" s="465"/>
      <c r="K222" s="465"/>
      <c r="L222" s="465"/>
      <c r="M222" s="465"/>
      <c r="N222" s="465"/>
      <c r="O222" s="465"/>
    </row>
    <row r="223" spans="1:15" ht="15">
      <c r="A223" s="360">
        <v>217</v>
      </c>
      <c r="B223" s="331" t="s">
        <v>253</v>
      </c>
      <c r="C223" s="332">
        <v>28</v>
      </c>
      <c r="D223" s="333">
        <v>22</v>
      </c>
      <c r="E223" s="334">
        <v>15</v>
      </c>
      <c r="F223" s="430">
        <f t="shared" si="3"/>
        <v>15</v>
      </c>
      <c r="G223" s="332">
        <v>63</v>
      </c>
      <c r="H223" s="524"/>
      <c r="I223" s="464"/>
      <c r="J223" s="465"/>
      <c r="K223" s="465"/>
      <c r="L223" s="465"/>
      <c r="M223" s="465"/>
      <c r="N223" s="465"/>
      <c r="O223" s="465"/>
    </row>
    <row r="224" spans="1:15" ht="15">
      <c r="A224" s="360">
        <v>218</v>
      </c>
      <c r="B224" s="331" t="s">
        <v>254</v>
      </c>
      <c r="C224" s="332">
        <v>43</v>
      </c>
      <c r="D224" s="333">
        <v>44</v>
      </c>
      <c r="E224" s="334">
        <v>29</v>
      </c>
      <c r="F224" s="430">
        <f t="shared" si="3"/>
        <v>29</v>
      </c>
      <c r="G224" s="332">
        <v>109</v>
      </c>
      <c r="H224" s="524"/>
      <c r="I224" s="464"/>
      <c r="J224" s="465"/>
      <c r="K224" s="465"/>
      <c r="L224" s="465"/>
      <c r="M224" s="465"/>
      <c r="N224" s="465"/>
      <c r="O224" s="465"/>
    </row>
    <row r="225" spans="1:15" ht="15">
      <c r="A225" s="360">
        <v>219</v>
      </c>
      <c r="B225" s="331" t="s">
        <v>255</v>
      </c>
      <c r="C225" s="332">
        <v>40</v>
      </c>
      <c r="D225" s="333">
        <v>34</v>
      </c>
      <c r="E225" s="334">
        <v>23</v>
      </c>
      <c r="F225" s="430">
        <f t="shared" si="3"/>
        <v>23</v>
      </c>
      <c r="G225" s="332">
        <v>123</v>
      </c>
      <c r="H225" s="524"/>
      <c r="I225" s="464"/>
      <c r="J225" s="465"/>
      <c r="K225" s="465"/>
      <c r="L225" s="465"/>
      <c r="M225" s="465"/>
      <c r="N225" s="465"/>
      <c r="O225" s="465"/>
    </row>
    <row r="226" spans="1:15" ht="15">
      <c r="A226" s="360">
        <v>220</v>
      </c>
      <c r="B226" s="331" t="s">
        <v>256</v>
      </c>
      <c r="C226" s="332">
        <v>37</v>
      </c>
      <c r="D226" s="333">
        <v>52</v>
      </c>
      <c r="E226" s="334">
        <v>35</v>
      </c>
      <c r="F226" s="430">
        <f t="shared" si="3"/>
        <v>35</v>
      </c>
      <c r="G226" s="332">
        <v>160</v>
      </c>
      <c r="H226" s="524"/>
      <c r="I226" s="464"/>
      <c r="J226" s="465"/>
      <c r="K226" s="465"/>
      <c r="L226" s="465"/>
      <c r="M226" s="465"/>
      <c r="N226" s="465"/>
      <c r="O226" s="465"/>
    </row>
    <row r="227" spans="1:15" s="316" customFormat="1" ht="15">
      <c r="A227" s="360">
        <v>221</v>
      </c>
      <c r="B227" s="331" t="s">
        <v>257</v>
      </c>
      <c r="C227" s="332">
        <v>47</v>
      </c>
      <c r="D227" s="333">
        <v>47</v>
      </c>
      <c r="E227" s="334">
        <v>32</v>
      </c>
      <c r="F227" s="430">
        <f t="shared" si="3"/>
        <v>32</v>
      </c>
      <c r="G227" s="332">
        <v>120</v>
      </c>
      <c r="H227" s="524"/>
      <c r="I227" s="464"/>
      <c r="J227" s="537"/>
      <c r="K227" s="537"/>
      <c r="L227" s="537"/>
      <c r="M227" s="537"/>
      <c r="N227" s="537"/>
      <c r="O227" s="537"/>
    </row>
    <row r="228" spans="1:15" s="316" customFormat="1" ht="15">
      <c r="A228" s="360">
        <v>222</v>
      </c>
      <c r="B228" s="331" t="s">
        <v>258</v>
      </c>
      <c r="C228" s="332">
        <v>40</v>
      </c>
      <c r="D228" s="333">
        <v>45</v>
      </c>
      <c r="E228" s="334">
        <v>30</v>
      </c>
      <c r="F228" s="430">
        <f t="shared" si="3"/>
        <v>30</v>
      </c>
      <c r="G228" s="332">
        <v>155</v>
      </c>
      <c r="H228" s="524"/>
      <c r="I228" s="464"/>
      <c r="J228" s="537"/>
      <c r="K228" s="537"/>
      <c r="L228" s="537"/>
      <c r="M228" s="537"/>
      <c r="N228" s="537"/>
      <c r="O228" s="537"/>
    </row>
    <row r="229" spans="1:15" ht="15">
      <c r="A229" s="360">
        <v>223</v>
      </c>
      <c r="B229" s="331" t="s">
        <v>271</v>
      </c>
      <c r="C229" s="332">
        <v>40</v>
      </c>
      <c r="D229" s="333">
        <v>62</v>
      </c>
      <c r="E229" s="334">
        <v>41</v>
      </c>
      <c r="F229" s="430">
        <f t="shared" si="3"/>
        <v>41</v>
      </c>
      <c r="G229" s="332">
        <v>175</v>
      </c>
      <c r="H229" s="524"/>
      <c r="I229" s="464"/>
      <c r="J229" s="465"/>
      <c r="K229" s="465"/>
      <c r="L229" s="465"/>
      <c r="M229" s="465"/>
      <c r="N229" s="465"/>
      <c r="O229" s="465"/>
    </row>
    <row r="230" spans="1:15" ht="15">
      <c r="A230" s="360">
        <v>224</v>
      </c>
      <c r="B230" s="331" t="s">
        <v>272</v>
      </c>
      <c r="C230" s="332">
        <v>47</v>
      </c>
      <c r="D230" s="333">
        <v>58</v>
      </c>
      <c r="E230" s="334">
        <v>39</v>
      </c>
      <c r="F230" s="430">
        <f t="shared" si="3"/>
        <v>39</v>
      </c>
      <c r="G230" s="332">
        <v>265</v>
      </c>
      <c r="H230" s="524"/>
      <c r="I230" s="464"/>
      <c r="J230" s="465"/>
      <c r="K230" s="465"/>
      <c r="L230" s="465"/>
      <c r="M230" s="465"/>
      <c r="N230" s="465"/>
      <c r="O230" s="465"/>
    </row>
    <row r="231" spans="1:15" ht="15">
      <c r="A231" s="360">
        <v>225</v>
      </c>
      <c r="B231" s="331" t="s">
        <v>273</v>
      </c>
      <c r="C231" s="332">
        <v>40</v>
      </c>
      <c r="D231" s="333">
        <v>54</v>
      </c>
      <c r="E231" s="334">
        <v>36</v>
      </c>
      <c r="F231" s="430">
        <f t="shared" si="3"/>
        <v>36</v>
      </c>
      <c r="G231" s="332">
        <v>209</v>
      </c>
      <c r="H231" s="524"/>
      <c r="I231" s="464"/>
      <c r="J231" s="465"/>
      <c r="K231" s="465"/>
      <c r="L231" s="465"/>
      <c r="M231" s="465"/>
      <c r="N231" s="465"/>
      <c r="O231" s="465"/>
    </row>
    <row r="232" spans="1:15" ht="15">
      <c r="A232" s="360">
        <v>226</v>
      </c>
      <c r="B232" s="331" t="s">
        <v>274</v>
      </c>
      <c r="C232" s="332">
        <v>47</v>
      </c>
      <c r="D232" s="333">
        <v>63</v>
      </c>
      <c r="E232" s="334">
        <v>42</v>
      </c>
      <c r="F232" s="430">
        <f t="shared" si="3"/>
        <v>42</v>
      </c>
      <c r="G232" s="332">
        <v>138</v>
      </c>
      <c r="H232" s="524"/>
      <c r="I232" s="464"/>
      <c r="J232" s="465"/>
      <c r="K232" s="465"/>
      <c r="L232" s="465"/>
      <c r="M232" s="465"/>
      <c r="N232" s="465"/>
      <c r="O232" s="465"/>
    </row>
    <row r="233" spans="1:15" ht="15">
      <c r="A233" s="360">
        <v>227</v>
      </c>
      <c r="B233" s="331" t="s">
        <v>275</v>
      </c>
      <c r="C233" s="332">
        <v>40</v>
      </c>
      <c r="D233" s="333">
        <v>56</v>
      </c>
      <c r="E233" s="334">
        <v>37</v>
      </c>
      <c r="F233" s="430">
        <f t="shared" si="3"/>
        <v>37</v>
      </c>
      <c r="G233" s="332">
        <v>274</v>
      </c>
      <c r="H233" s="524"/>
      <c r="I233" s="464"/>
      <c r="J233" s="465"/>
      <c r="K233" s="465"/>
      <c r="L233" s="465"/>
      <c r="M233" s="465"/>
      <c r="N233" s="465"/>
      <c r="O233" s="465"/>
    </row>
    <row r="234" spans="1:15" ht="15">
      <c r="A234" s="360">
        <v>228</v>
      </c>
      <c r="B234" s="331" t="s">
        <v>276</v>
      </c>
      <c r="C234" s="332">
        <v>40</v>
      </c>
      <c r="D234" s="333">
        <v>64</v>
      </c>
      <c r="E234" s="334">
        <v>43</v>
      </c>
      <c r="F234" s="430">
        <f t="shared" si="3"/>
        <v>43</v>
      </c>
      <c r="G234" s="332">
        <v>151</v>
      </c>
      <c r="H234" s="524"/>
      <c r="I234" s="464"/>
      <c r="J234" s="465"/>
      <c r="K234" s="465"/>
      <c r="L234" s="465"/>
      <c r="M234" s="465"/>
      <c r="N234" s="465"/>
      <c r="O234" s="465"/>
    </row>
    <row r="235" spans="1:15" ht="15">
      <c r="A235" s="360">
        <v>229</v>
      </c>
      <c r="B235" s="331" t="s">
        <v>277</v>
      </c>
      <c r="C235" s="332">
        <v>47</v>
      </c>
      <c r="D235" s="333">
        <v>58</v>
      </c>
      <c r="E235" s="334">
        <v>39</v>
      </c>
      <c r="F235" s="430">
        <f t="shared" si="3"/>
        <v>39</v>
      </c>
      <c r="G235" s="332">
        <v>282</v>
      </c>
      <c r="H235" s="524"/>
      <c r="I235" s="464"/>
      <c r="J235" s="465"/>
      <c r="K235" s="465"/>
      <c r="L235" s="465"/>
      <c r="M235" s="465"/>
      <c r="N235" s="465"/>
      <c r="O235" s="465"/>
    </row>
    <row r="236" spans="1:15" ht="15">
      <c r="A236" s="360">
        <v>230</v>
      </c>
      <c r="B236" s="331" t="s">
        <v>278</v>
      </c>
      <c r="C236" s="332">
        <v>40</v>
      </c>
      <c r="D236" s="333">
        <v>51</v>
      </c>
      <c r="E236" s="334">
        <v>34</v>
      </c>
      <c r="F236" s="430">
        <f t="shared" si="3"/>
        <v>34</v>
      </c>
      <c r="G236" s="332">
        <v>314</v>
      </c>
      <c r="H236" s="524"/>
      <c r="I236" s="464"/>
      <c r="J236" s="465"/>
      <c r="K236" s="465"/>
      <c r="L236" s="465"/>
      <c r="M236" s="465"/>
      <c r="N236" s="465"/>
      <c r="O236" s="465"/>
    </row>
    <row r="237" spans="1:15" ht="15">
      <c r="A237" s="360">
        <v>231</v>
      </c>
      <c r="B237" s="331" t="s">
        <v>502</v>
      </c>
      <c r="C237" s="332">
        <v>47</v>
      </c>
      <c r="D237" s="333">
        <v>62</v>
      </c>
      <c r="E237" s="334">
        <v>41</v>
      </c>
      <c r="F237" s="430">
        <f t="shared" si="3"/>
        <v>41</v>
      </c>
      <c r="G237" s="332">
        <v>276</v>
      </c>
      <c r="H237" s="524"/>
      <c r="I237" s="464"/>
      <c r="J237" s="465"/>
      <c r="K237" s="465"/>
      <c r="L237" s="465"/>
      <c r="M237" s="465"/>
      <c r="N237" s="465"/>
      <c r="O237" s="465"/>
    </row>
    <row r="238" spans="1:15" ht="15">
      <c r="A238" s="360">
        <v>232</v>
      </c>
      <c r="B238" s="331" t="s">
        <v>503</v>
      </c>
      <c r="C238" s="332">
        <v>35</v>
      </c>
      <c r="D238" s="333">
        <v>51</v>
      </c>
      <c r="E238" s="334">
        <v>34</v>
      </c>
      <c r="F238" s="430">
        <f t="shared" si="3"/>
        <v>34</v>
      </c>
      <c r="G238" s="332">
        <v>138</v>
      </c>
      <c r="H238" s="524"/>
      <c r="I238" s="464"/>
      <c r="J238" s="465"/>
      <c r="K238" s="465"/>
      <c r="L238" s="465"/>
      <c r="M238" s="465"/>
      <c r="N238" s="465"/>
      <c r="O238" s="465"/>
    </row>
    <row r="239" spans="1:15" ht="15">
      <c r="A239" s="360">
        <v>233</v>
      </c>
      <c r="B239" s="331" t="s">
        <v>280</v>
      </c>
      <c r="C239" s="332">
        <v>31</v>
      </c>
      <c r="D239" s="333">
        <v>62</v>
      </c>
      <c r="E239" s="334">
        <v>41</v>
      </c>
      <c r="F239" s="430">
        <f t="shared" si="3"/>
        <v>41</v>
      </c>
      <c r="G239" s="332">
        <v>224</v>
      </c>
      <c r="H239" s="524"/>
      <c r="I239" s="464"/>
      <c r="J239" s="465"/>
      <c r="K239" s="465"/>
      <c r="L239" s="465"/>
      <c r="M239" s="465"/>
      <c r="N239" s="465"/>
      <c r="O239" s="465"/>
    </row>
    <row r="240" spans="1:15" ht="15">
      <c r="A240" s="360">
        <v>234</v>
      </c>
      <c r="B240" s="331" t="s">
        <v>423</v>
      </c>
      <c r="C240" s="332">
        <v>22</v>
      </c>
      <c r="D240" s="333">
        <v>45</v>
      </c>
      <c r="E240" s="334">
        <v>30</v>
      </c>
      <c r="F240" s="430">
        <f t="shared" si="3"/>
        <v>30</v>
      </c>
      <c r="G240" s="332">
        <v>115</v>
      </c>
      <c r="H240" s="524"/>
      <c r="I240" s="464"/>
      <c r="J240" s="465"/>
      <c r="K240" s="465"/>
      <c r="L240" s="465"/>
      <c r="M240" s="465"/>
      <c r="N240" s="465"/>
      <c r="O240" s="465"/>
    </row>
    <row r="241" spans="1:15" ht="15">
      <c r="A241" s="360">
        <v>235</v>
      </c>
      <c r="B241" s="331" t="s">
        <v>261</v>
      </c>
      <c r="C241" s="332"/>
      <c r="D241" s="333">
        <v>38</v>
      </c>
      <c r="E241" s="334">
        <v>25</v>
      </c>
      <c r="F241" s="430">
        <f t="shared" si="3"/>
        <v>25</v>
      </c>
      <c r="G241" s="332">
        <v>86</v>
      </c>
      <c r="H241" s="524"/>
      <c r="I241" s="464"/>
      <c r="J241" s="465"/>
      <c r="K241" s="465"/>
      <c r="L241" s="465"/>
      <c r="M241" s="465"/>
      <c r="N241" s="465"/>
      <c r="O241" s="465"/>
    </row>
    <row r="242" spans="1:15" ht="15">
      <c r="A242" s="360">
        <v>236</v>
      </c>
      <c r="B242" s="331" t="s">
        <v>262</v>
      </c>
      <c r="C242" s="332"/>
      <c r="D242" s="333">
        <v>20</v>
      </c>
      <c r="E242" s="334">
        <v>13</v>
      </c>
      <c r="F242" s="430">
        <f t="shared" si="3"/>
        <v>13</v>
      </c>
      <c r="G242" s="332">
        <v>98</v>
      </c>
      <c r="H242" s="524"/>
      <c r="I242" s="464"/>
      <c r="J242" s="465"/>
      <c r="K242" s="465"/>
      <c r="L242" s="465"/>
      <c r="M242" s="465"/>
      <c r="N242" s="465"/>
      <c r="O242" s="465"/>
    </row>
    <row r="243" spans="1:15" ht="15">
      <c r="A243" s="360">
        <v>237</v>
      </c>
      <c r="B243" s="331" t="s">
        <v>263</v>
      </c>
      <c r="C243" s="332"/>
      <c r="D243" s="333">
        <v>46</v>
      </c>
      <c r="E243" s="334">
        <v>31</v>
      </c>
      <c r="F243" s="430">
        <f t="shared" si="3"/>
        <v>31</v>
      </c>
      <c r="G243" s="332">
        <v>74</v>
      </c>
      <c r="H243" s="524"/>
      <c r="I243" s="464"/>
      <c r="J243" s="465"/>
      <c r="K243" s="465"/>
      <c r="L243" s="465"/>
      <c r="M243" s="465"/>
      <c r="N243" s="465"/>
      <c r="O243" s="465"/>
    </row>
    <row r="244" spans="1:15" ht="15">
      <c r="A244" s="360">
        <v>238</v>
      </c>
      <c r="B244" s="331" t="s">
        <v>264</v>
      </c>
      <c r="C244" s="332">
        <v>24</v>
      </c>
      <c r="D244" s="333">
        <v>45</v>
      </c>
      <c r="E244" s="334">
        <v>30</v>
      </c>
      <c r="F244" s="430">
        <f t="shared" si="3"/>
        <v>30</v>
      </c>
      <c r="G244" s="332">
        <v>116</v>
      </c>
      <c r="H244" s="524"/>
      <c r="I244" s="524"/>
      <c r="J244" s="524"/>
      <c r="K244" s="524"/>
      <c r="L244" s="524"/>
      <c r="M244" s="465"/>
      <c r="N244" s="465"/>
      <c r="O244" s="465"/>
    </row>
    <row r="245" spans="1:15" ht="15">
      <c r="A245" s="360">
        <v>239</v>
      </c>
      <c r="B245" s="331"/>
      <c r="C245" s="332"/>
      <c r="D245" s="333"/>
      <c r="E245" s="334"/>
      <c r="F245" s="430"/>
      <c r="G245" s="332"/>
      <c r="H245" s="464"/>
      <c r="I245" s="464"/>
      <c r="J245" s="465"/>
      <c r="K245" s="465"/>
      <c r="L245" s="465"/>
      <c r="M245" s="465"/>
      <c r="N245" s="465"/>
      <c r="O245" s="465"/>
    </row>
    <row r="246" spans="1:15" ht="15">
      <c r="A246" s="360">
        <v>240</v>
      </c>
      <c r="B246" s="331"/>
      <c r="C246" s="332"/>
      <c r="D246" s="333"/>
      <c r="E246" s="334"/>
      <c r="F246" s="334"/>
      <c r="G246" s="332"/>
      <c r="H246" s="464"/>
      <c r="I246" s="464"/>
      <c r="J246" s="465"/>
      <c r="K246" s="465"/>
      <c r="L246" s="465"/>
      <c r="M246" s="465"/>
      <c r="N246" s="465"/>
      <c r="O246" s="465"/>
    </row>
    <row r="247" spans="1:15" ht="15">
      <c r="A247" s="360">
        <v>241</v>
      </c>
      <c r="B247" s="336"/>
      <c r="C247" s="337"/>
      <c r="D247" s="338"/>
      <c r="E247" s="339"/>
      <c r="F247" s="339"/>
      <c r="G247" s="337"/>
      <c r="H247" s="464"/>
      <c r="I247" s="464"/>
      <c r="J247" s="465"/>
      <c r="K247" s="465"/>
      <c r="L247" s="465"/>
      <c r="M247" s="465"/>
      <c r="N247" s="465"/>
      <c r="O247" s="465"/>
    </row>
    <row r="248" spans="1:9" ht="15" hidden="1">
      <c r="A248" s="360">
        <v>262</v>
      </c>
      <c r="B248" s="340"/>
      <c r="C248" s="323"/>
      <c r="D248" s="437"/>
      <c r="E248" s="437"/>
      <c r="F248" s="438"/>
      <c r="G248" s="437"/>
      <c r="H248" s="323"/>
      <c r="I248" s="323"/>
    </row>
    <row r="249" spans="1:9" ht="15">
      <c r="A249" s="360">
        <v>263</v>
      </c>
      <c r="B249" s="340"/>
      <c r="C249" s="323"/>
      <c r="D249" s="341"/>
      <c r="E249" s="342"/>
      <c r="F249" s="342"/>
      <c r="G249" s="323"/>
      <c r="H249" s="323"/>
      <c r="I249" s="323"/>
    </row>
    <row r="250" spans="1:9" ht="15">
      <c r="A250" s="360">
        <v>264</v>
      </c>
      <c r="B250" s="340"/>
      <c r="C250" s="323"/>
      <c r="D250" s="341"/>
      <c r="E250" s="342"/>
      <c r="F250" s="342"/>
      <c r="G250" s="323"/>
      <c r="H250" s="323"/>
      <c r="I250" s="323"/>
    </row>
    <row r="251" spans="1:9" ht="15">
      <c r="A251" s="360">
        <v>265</v>
      </c>
      <c r="B251" s="340"/>
      <c r="C251" s="323"/>
      <c r="D251" s="341"/>
      <c r="E251" s="342"/>
      <c r="F251" s="342"/>
      <c r="G251" s="323"/>
      <c r="H251" s="323"/>
      <c r="I251" s="323"/>
    </row>
    <row r="252" spans="1:9" ht="15">
      <c r="A252" s="435"/>
      <c r="B252" s="340"/>
      <c r="C252" s="323"/>
      <c r="D252" s="341"/>
      <c r="E252" s="323"/>
      <c r="F252" s="323"/>
      <c r="G252" s="323"/>
      <c r="H252" s="323"/>
      <c r="I252" s="323"/>
    </row>
    <row r="253" spans="1:9" ht="15">
      <c r="A253" s="468"/>
      <c r="B253" s="340"/>
      <c r="C253" s="323"/>
      <c r="D253" s="341"/>
      <c r="E253" s="323"/>
      <c r="F253" s="323"/>
      <c r="G253" s="323"/>
      <c r="H253" s="323"/>
      <c r="I253" s="323"/>
    </row>
    <row r="254" spans="1:9" ht="15">
      <c r="A254" s="468"/>
      <c r="B254" s="340"/>
      <c r="C254" s="323"/>
      <c r="D254" s="341"/>
      <c r="E254" s="323"/>
      <c r="F254" s="323"/>
      <c r="G254" s="323"/>
      <c r="H254" s="323"/>
      <c r="I254" s="323"/>
    </row>
    <row r="255" spans="1:9" ht="15">
      <c r="A255" s="468"/>
      <c r="B255" s="340"/>
      <c r="C255" s="323"/>
      <c r="D255" s="341"/>
      <c r="E255" s="323"/>
      <c r="F255" s="323"/>
      <c r="G255" s="323"/>
      <c r="H255" s="323"/>
      <c r="I255" s="323"/>
    </row>
    <row r="256" spans="1:9" ht="15">
      <c r="A256" s="468"/>
      <c r="B256" s="340"/>
      <c r="C256" s="323"/>
      <c r="D256" s="341"/>
      <c r="E256" s="323"/>
      <c r="F256" s="323"/>
      <c r="G256" s="323"/>
      <c r="H256" s="323"/>
      <c r="I256" s="323"/>
    </row>
    <row r="257" spans="1:9" ht="15">
      <c r="A257" s="468"/>
      <c r="B257" s="340"/>
      <c r="C257" s="323"/>
      <c r="D257" s="341"/>
      <c r="E257" s="323"/>
      <c r="F257" s="323"/>
      <c r="G257" s="323"/>
      <c r="H257" s="323"/>
      <c r="I257" s="323"/>
    </row>
    <row r="258" spans="1:9" ht="15">
      <c r="A258" s="468"/>
      <c r="B258" s="340"/>
      <c r="C258" s="323"/>
      <c r="D258" s="341"/>
      <c r="E258" s="323"/>
      <c r="F258" s="323"/>
      <c r="G258" s="323"/>
      <c r="H258" s="323"/>
      <c r="I258" s="323"/>
    </row>
    <row r="259" spans="1:9" ht="15">
      <c r="A259" s="468"/>
      <c r="B259" s="340"/>
      <c r="C259" s="323"/>
      <c r="D259" s="341"/>
      <c r="E259" s="323"/>
      <c r="F259" s="323"/>
      <c r="G259" s="323"/>
      <c r="H259" s="323"/>
      <c r="I259" s="323"/>
    </row>
    <row r="260" spans="1:10" s="317" customFormat="1" ht="15">
      <c r="A260" s="468"/>
      <c r="B260" s="340"/>
      <c r="C260" s="323"/>
      <c r="D260" s="341"/>
      <c r="E260" s="323"/>
      <c r="F260" s="323"/>
      <c r="G260" s="323"/>
      <c r="H260" s="323"/>
      <c r="I260" s="323"/>
      <c r="J260" s="315"/>
    </row>
    <row r="261" spans="1:10" s="317" customFormat="1" ht="15">
      <c r="A261" s="468"/>
      <c r="B261" s="340"/>
      <c r="C261" s="323"/>
      <c r="D261" s="341"/>
      <c r="E261" s="323"/>
      <c r="F261" s="323"/>
      <c r="G261" s="323"/>
      <c r="H261" s="323"/>
      <c r="I261" s="323"/>
      <c r="J261" s="315"/>
    </row>
    <row r="262" spans="1:10" s="317" customFormat="1" ht="15">
      <c r="A262" s="468"/>
      <c r="B262" s="340"/>
      <c r="C262" s="323"/>
      <c r="D262" s="341"/>
      <c r="E262" s="323"/>
      <c r="F262" s="323"/>
      <c r="G262" s="323"/>
      <c r="H262" s="323"/>
      <c r="I262" s="323"/>
      <c r="J262" s="315"/>
    </row>
    <row r="263" spans="1:10" s="317" customFormat="1" ht="15">
      <c r="A263" s="468"/>
      <c r="B263" s="340"/>
      <c r="C263" s="323"/>
      <c r="D263" s="341"/>
      <c r="E263" s="323"/>
      <c r="F263" s="323"/>
      <c r="G263" s="323"/>
      <c r="H263" s="323"/>
      <c r="I263" s="323"/>
      <c r="J263" s="315"/>
    </row>
    <row r="264" spans="1:10" s="317" customFormat="1" ht="15">
      <c r="A264" s="468"/>
      <c r="B264" s="340"/>
      <c r="C264" s="323"/>
      <c r="D264" s="341"/>
      <c r="E264" s="323"/>
      <c r="F264" s="323"/>
      <c r="G264" s="323"/>
      <c r="H264" s="323"/>
      <c r="I264" s="323"/>
      <c r="J264" s="315"/>
    </row>
    <row r="265" spans="1:10" s="317" customFormat="1" ht="15">
      <c r="A265" s="468"/>
      <c r="B265" s="340"/>
      <c r="C265" s="323"/>
      <c r="D265" s="341"/>
      <c r="E265" s="323"/>
      <c r="F265" s="323"/>
      <c r="G265" s="323"/>
      <c r="H265" s="323"/>
      <c r="I265" s="323"/>
      <c r="J265" s="315"/>
    </row>
    <row r="266" spans="1:10" s="317" customFormat="1" ht="15">
      <c r="A266" s="468"/>
      <c r="B266" s="340"/>
      <c r="C266" s="323"/>
      <c r="D266" s="341"/>
      <c r="E266" s="323"/>
      <c r="F266" s="323"/>
      <c r="G266" s="323"/>
      <c r="H266" s="323"/>
      <c r="I266" s="323"/>
      <c r="J266" s="315"/>
    </row>
    <row r="267" spans="1:10" s="317" customFormat="1" ht="15">
      <c r="A267" s="468"/>
      <c r="B267" s="340"/>
      <c r="C267" s="323"/>
      <c r="D267" s="341"/>
      <c r="E267" s="323"/>
      <c r="F267" s="323"/>
      <c r="G267" s="323"/>
      <c r="H267" s="323"/>
      <c r="I267" s="323"/>
      <c r="J267" s="315"/>
    </row>
    <row r="268" spans="1:10" s="317" customFormat="1" ht="15">
      <c r="A268" s="468"/>
      <c r="B268" s="340"/>
      <c r="C268" s="323"/>
      <c r="D268" s="341"/>
      <c r="E268" s="323"/>
      <c r="F268" s="323"/>
      <c r="G268" s="323"/>
      <c r="H268" s="323"/>
      <c r="I268" s="323"/>
      <c r="J268" s="315"/>
    </row>
    <row r="269" spans="1:10" s="317" customFormat="1" ht="15">
      <c r="A269" s="468"/>
      <c r="B269" s="340"/>
      <c r="C269" s="323"/>
      <c r="D269" s="341"/>
      <c r="E269" s="323"/>
      <c r="F269" s="323"/>
      <c r="G269" s="323"/>
      <c r="H269" s="323"/>
      <c r="I269" s="323"/>
      <c r="J269" s="315"/>
    </row>
    <row r="270" spans="1:10" s="317" customFormat="1" ht="15">
      <c r="A270" s="468"/>
      <c r="B270" s="340"/>
      <c r="C270" s="323"/>
      <c r="D270" s="341"/>
      <c r="E270" s="323"/>
      <c r="F270" s="323"/>
      <c r="G270" s="323"/>
      <c r="H270" s="323"/>
      <c r="I270" s="323"/>
      <c r="J270" s="315"/>
    </row>
    <row r="271" spans="1:10" s="317" customFormat="1" ht="15">
      <c r="A271" s="468"/>
      <c r="B271" s="340"/>
      <c r="C271" s="323"/>
      <c r="D271" s="341"/>
      <c r="E271" s="323"/>
      <c r="F271" s="323"/>
      <c r="G271" s="323"/>
      <c r="H271" s="323"/>
      <c r="I271" s="323"/>
      <c r="J271" s="315"/>
    </row>
    <row r="272" spans="1:10" s="317" customFormat="1" ht="15">
      <c r="A272" s="468"/>
      <c r="B272" s="340"/>
      <c r="C272" s="323"/>
      <c r="D272" s="341"/>
      <c r="E272" s="323"/>
      <c r="F272" s="323"/>
      <c r="G272" s="323"/>
      <c r="H272" s="323"/>
      <c r="I272" s="323"/>
      <c r="J272" s="315"/>
    </row>
    <row r="273" spans="1:10" s="317" customFormat="1" ht="15">
      <c r="A273" s="468"/>
      <c r="B273" s="340"/>
      <c r="C273" s="323"/>
      <c r="D273" s="341"/>
      <c r="E273" s="323"/>
      <c r="F273" s="323"/>
      <c r="G273" s="323"/>
      <c r="H273" s="323"/>
      <c r="I273" s="323"/>
      <c r="J273" s="315"/>
    </row>
    <row r="274" spans="1:10" s="317" customFormat="1" ht="15">
      <c r="A274" s="468"/>
      <c r="B274" s="340"/>
      <c r="C274" s="323"/>
      <c r="D274" s="341"/>
      <c r="E274" s="323"/>
      <c r="F274" s="323"/>
      <c r="G274" s="323"/>
      <c r="H274" s="323"/>
      <c r="I274" s="323"/>
      <c r="J274" s="315"/>
    </row>
    <row r="275" spans="1:10" s="317" customFormat="1" ht="15">
      <c r="A275" s="468"/>
      <c r="B275" s="340"/>
      <c r="C275" s="323"/>
      <c r="D275" s="341"/>
      <c r="E275" s="323"/>
      <c r="F275" s="323"/>
      <c r="G275" s="323"/>
      <c r="H275" s="323"/>
      <c r="I275" s="323"/>
      <c r="J275" s="315"/>
    </row>
    <row r="276" spans="1:10" s="317" customFormat="1" ht="15">
      <c r="A276" s="468"/>
      <c r="B276" s="340"/>
      <c r="C276" s="323"/>
      <c r="D276" s="341"/>
      <c r="E276" s="323"/>
      <c r="F276" s="323"/>
      <c r="G276" s="323"/>
      <c r="H276" s="323"/>
      <c r="I276" s="323"/>
      <c r="J276" s="315"/>
    </row>
    <row r="277" spans="1:10" s="317" customFormat="1" ht="15">
      <c r="A277" s="468"/>
      <c r="B277" s="340"/>
      <c r="C277" s="323"/>
      <c r="D277" s="341"/>
      <c r="E277" s="323"/>
      <c r="F277" s="323"/>
      <c r="G277" s="323"/>
      <c r="H277" s="323"/>
      <c r="I277" s="323"/>
      <c r="J277" s="315"/>
    </row>
    <row r="278" spans="1:10" s="317" customFormat="1" ht="15">
      <c r="A278" s="468"/>
      <c r="B278" s="340"/>
      <c r="C278" s="323"/>
      <c r="D278" s="341"/>
      <c r="E278" s="323"/>
      <c r="F278" s="323"/>
      <c r="G278" s="323"/>
      <c r="H278" s="323"/>
      <c r="I278" s="323"/>
      <c r="J278" s="315"/>
    </row>
    <row r="279" spans="1:10" s="317" customFormat="1" ht="15">
      <c r="A279" s="468"/>
      <c r="B279" s="340"/>
      <c r="C279" s="323"/>
      <c r="D279" s="341"/>
      <c r="E279" s="323"/>
      <c r="F279" s="323"/>
      <c r="G279" s="323"/>
      <c r="H279" s="323"/>
      <c r="I279" s="323"/>
      <c r="J279" s="315"/>
    </row>
    <row r="280" spans="1:10" s="317" customFormat="1" ht="15">
      <c r="A280" s="468"/>
      <c r="B280" s="340"/>
      <c r="C280" s="323"/>
      <c r="D280" s="341"/>
      <c r="E280" s="323"/>
      <c r="F280" s="323"/>
      <c r="G280" s="323"/>
      <c r="H280" s="323"/>
      <c r="I280" s="323"/>
      <c r="J280" s="315"/>
    </row>
    <row r="281" spans="1:10" s="317" customFormat="1" ht="15">
      <c r="A281" s="468"/>
      <c r="B281" s="340"/>
      <c r="C281" s="323"/>
      <c r="D281" s="341"/>
      <c r="E281" s="323"/>
      <c r="F281" s="323"/>
      <c r="G281" s="323"/>
      <c r="H281" s="323"/>
      <c r="I281" s="323"/>
      <c r="J281" s="315"/>
    </row>
    <row r="282" spans="1:10" s="317" customFormat="1" ht="15">
      <c r="A282" s="468"/>
      <c r="B282" s="340"/>
      <c r="C282" s="323"/>
      <c r="D282" s="341"/>
      <c r="E282" s="323"/>
      <c r="F282" s="323"/>
      <c r="G282" s="323"/>
      <c r="H282" s="323"/>
      <c r="I282" s="323"/>
      <c r="J282" s="315"/>
    </row>
    <row r="283" spans="1:10" s="317" customFormat="1" ht="15">
      <c r="A283" s="468"/>
      <c r="B283" s="340"/>
      <c r="C283" s="323"/>
      <c r="D283" s="341"/>
      <c r="E283" s="323"/>
      <c r="F283" s="323"/>
      <c r="G283" s="323"/>
      <c r="H283" s="323"/>
      <c r="I283" s="323"/>
      <c r="J283" s="315"/>
    </row>
    <row r="284" spans="1:10" s="317" customFormat="1" ht="15">
      <c r="A284" s="468"/>
      <c r="B284" s="340"/>
      <c r="C284" s="323"/>
      <c r="D284" s="341"/>
      <c r="E284" s="323"/>
      <c r="F284" s="323"/>
      <c r="G284" s="323"/>
      <c r="H284" s="323"/>
      <c r="I284" s="323"/>
      <c r="J284" s="315"/>
    </row>
    <row r="285" spans="1:10" s="317" customFormat="1" ht="15">
      <c r="A285" s="468"/>
      <c r="B285" s="340"/>
      <c r="C285" s="323"/>
      <c r="D285" s="341"/>
      <c r="E285" s="323"/>
      <c r="F285" s="323"/>
      <c r="G285" s="323"/>
      <c r="H285" s="323"/>
      <c r="I285" s="323"/>
      <c r="J285" s="315"/>
    </row>
    <row r="286" spans="1:10" s="317" customFormat="1" ht="15">
      <c r="A286" s="468"/>
      <c r="B286" s="340"/>
      <c r="C286" s="323"/>
      <c r="D286" s="341"/>
      <c r="E286" s="323"/>
      <c r="F286" s="323"/>
      <c r="G286" s="323"/>
      <c r="H286" s="323"/>
      <c r="I286" s="323"/>
      <c r="J286" s="315"/>
    </row>
    <row r="287" spans="1:10" s="317" customFormat="1" ht="15">
      <c r="A287" s="468"/>
      <c r="B287" s="340"/>
      <c r="C287" s="323"/>
      <c r="D287" s="341"/>
      <c r="E287" s="323"/>
      <c r="F287" s="323"/>
      <c r="G287" s="323"/>
      <c r="H287" s="323"/>
      <c r="I287" s="323"/>
      <c r="J287" s="315"/>
    </row>
    <row r="288" spans="1:10" s="317" customFormat="1" ht="15">
      <c r="A288" s="468"/>
      <c r="B288" s="340"/>
      <c r="C288" s="323"/>
      <c r="D288" s="341"/>
      <c r="E288" s="323"/>
      <c r="F288" s="323"/>
      <c r="G288" s="323"/>
      <c r="H288" s="323"/>
      <c r="I288" s="323"/>
      <c r="J288" s="315"/>
    </row>
    <row r="289" spans="1:10" s="317" customFormat="1" ht="15">
      <c r="A289" s="468"/>
      <c r="B289" s="340"/>
      <c r="C289" s="323"/>
      <c r="D289" s="341"/>
      <c r="E289" s="323"/>
      <c r="F289" s="323"/>
      <c r="G289" s="323"/>
      <c r="H289" s="323"/>
      <c r="I289" s="323"/>
      <c r="J289" s="315"/>
    </row>
    <row r="290" spans="1:10" s="317" customFormat="1" ht="15">
      <c r="A290" s="468"/>
      <c r="B290" s="340"/>
      <c r="C290" s="323"/>
      <c r="D290" s="341"/>
      <c r="E290" s="323"/>
      <c r="F290" s="323"/>
      <c r="G290" s="323"/>
      <c r="H290" s="323"/>
      <c r="I290" s="323"/>
      <c r="J290" s="315"/>
    </row>
    <row r="291" spans="1:10" s="317" customFormat="1" ht="15">
      <c r="A291" s="468"/>
      <c r="B291" s="340"/>
      <c r="C291" s="323"/>
      <c r="D291" s="341"/>
      <c r="E291" s="323"/>
      <c r="F291" s="323"/>
      <c r="G291" s="323"/>
      <c r="H291" s="323"/>
      <c r="I291" s="323"/>
      <c r="J291" s="315"/>
    </row>
    <row r="292" spans="1:10" s="317" customFormat="1" ht="15">
      <c r="A292" s="468"/>
      <c r="B292" s="340"/>
      <c r="C292" s="323"/>
      <c r="D292" s="341"/>
      <c r="E292" s="323"/>
      <c r="F292" s="323"/>
      <c r="G292" s="323"/>
      <c r="H292" s="323"/>
      <c r="I292" s="323"/>
      <c r="J292" s="315"/>
    </row>
    <row r="293" spans="1:10" s="317" customFormat="1" ht="15">
      <c r="A293" s="468"/>
      <c r="B293" s="340"/>
      <c r="C293" s="323"/>
      <c r="D293" s="341"/>
      <c r="E293" s="323"/>
      <c r="F293" s="323"/>
      <c r="G293" s="323"/>
      <c r="H293" s="323"/>
      <c r="I293" s="323"/>
      <c r="J293" s="315"/>
    </row>
    <row r="294" spans="1:10" s="317" customFormat="1" ht="15">
      <c r="A294" s="468"/>
      <c r="B294" s="340"/>
      <c r="C294" s="323"/>
      <c r="D294" s="341"/>
      <c r="E294" s="323"/>
      <c r="F294" s="323"/>
      <c r="G294" s="323"/>
      <c r="H294" s="323"/>
      <c r="I294" s="323"/>
      <c r="J294" s="315"/>
    </row>
    <row r="295" spans="1:10" s="317" customFormat="1" ht="15">
      <c r="A295" s="468"/>
      <c r="B295" s="340"/>
      <c r="C295" s="323"/>
      <c r="D295" s="341"/>
      <c r="E295" s="323"/>
      <c r="F295" s="323"/>
      <c r="G295" s="323"/>
      <c r="H295" s="323"/>
      <c r="I295" s="323"/>
      <c r="J295" s="315"/>
    </row>
    <row r="296" spans="1:10" s="317" customFormat="1" ht="15">
      <c r="A296" s="468"/>
      <c r="B296" s="340"/>
      <c r="C296" s="323"/>
      <c r="D296" s="341"/>
      <c r="E296" s="323"/>
      <c r="F296" s="323"/>
      <c r="G296" s="323"/>
      <c r="H296" s="323"/>
      <c r="I296" s="323"/>
      <c r="J296" s="315"/>
    </row>
    <row r="297" spans="1:10" s="317" customFormat="1" ht="15">
      <c r="A297" s="468"/>
      <c r="B297" s="340"/>
      <c r="C297" s="323"/>
      <c r="D297" s="341"/>
      <c r="E297" s="323"/>
      <c r="F297" s="323"/>
      <c r="G297" s="323"/>
      <c r="H297" s="323"/>
      <c r="I297" s="323"/>
      <c r="J297" s="315"/>
    </row>
    <row r="298" spans="1:10" s="317" customFormat="1" ht="15">
      <c r="A298" s="468"/>
      <c r="B298" s="340"/>
      <c r="C298" s="323"/>
      <c r="D298" s="341"/>
      <c r="E298" s="323"/>
      <c r="F298" s="323"/>
      <c r="G298" s="323"/>
      <c r="H298" s="323"/>
      <c r="I298" s="323"/>
      <c r="J298" s="315"/>
    </row>
    <row r="299" spans="1:10" s="317" customFormat="1" ht="15">
      <c r="A299" s="468"/>
      <c r="B299" s="340"/>
      <c r="C299" s="323"/>
      <c r="D299" s="341"/>
      <c r="E299" s="323"/>
      <c r="F299" s="323"/>
      <c r="G299" s="323"/>
      <c r="H299" s="323"/>
      <c r="I299" s="323"/>
      <c r="J299" s="315"/>
    </row>
    <row r="300" spans="1:10" s="317" customFormat="1" ht="15">
      <c r="A300" s="468"/>
      <c r="B300" s="340"/>
      <c r="C300" s="323"/>
      <c r="D300" s="341"/>
      <c r="E300" s="323"/>
      <c r="F300" s="323"/>
      <c r="G300" s="323"/>
      <c r="H300" s="323"/>
      <c r="I300" s="323"/>
      <c r="J300" s="315"/>
    </row>
    <row r="301" spans="1:10" s="317" customFormat="1" ht="15">
      <c r="A301" s="468"/>
      <c r="B301" s="340"/>
      <c r="C301" s="323"/>
      <c r="D301" s="341"/>
      <c r="E301" s="323"/>
      <c r="F301" s="323"/>
      <c r="G301" s="323"/>
      <c r="H301" s="323"/>
      <c r="I301" s="323"/>
      <c r="J301" s="315"/>
    </row>
    <row r="302" spans="1:10" s="317" customFormat="1" ht="15">
      <c r="A302" s="468"/>
      <c r="B302" s="340"/>
      <c r="C302" s="323"/>
      <c r="D302" s="341"/>
      <c r="E302" s="323"/>
      <c r="F302" s="323"/>
      <c r="G302" s="323"/>
      <c r="H302" s="323"/>
      <c r="I302" s="323"/>
      <c r="J302" s="315"/>
    </row>
    <row r="303" spans="1:10" s="317" customFormat="1" ht="15">
      <c r="A303" s="468"/>
      <c r="B303" s="340"/>
      <c r="C303" s="323"/>
      <c r="D303" s="341"/>
      <c r="E303" s="323"/>
      <c r="F303" s="323"/>
      <c r="G303" s="323"/>
      <c r="H303" s="323"/>
      <c r="I303" s="323"/>
      <c r="J303" s="315"/>
    </row>
    <row r="304" spans="1:10" s="317" customFormat="1" ht="15">
      <c r="A304" s="468"/>
      <c r="B304" s="340"/>
      <c r="C304" s="323"/>
      <c r="D304" s="341"/>
      <c r="E304" s="323"/>
      <c r="F304" s="323"/>
      <c r="G304" s="323"/>
      <c r="H304" s="323"/>
      <c r="I304" s="323"/>
      <c r="J304" s="315"/>
    </row>
    <row r="305" spans="1:10" s="317" customFormat="1" ht="15">
      <c r="A305" s="468"/>
      <c r="B305" s="340"/>
      <c r="C305" s="323"/>
      <c r="D305" s="341"/>
      <c r="E305" s="323"/>
      <c r="F305" s="323"/>
      <c r="G305" s="323"/>
      <c r="H305" s="323"/>
      <c r="I305" s="323"/>
      <c r="J305" s="315"/>
    </row>
    <row r="306" spans="1:10" s="317" customFormat="1" ht="15">
      <c r="A306" s="468"/>
      <c r="B306" s="340"/>
      <c r="C306" s="323"/>
      <c r="D306" s="341"/>
      <c r="E306" s="323"/>
      <c r="F306" s="323"/>
      <c r="G306" s="323"/>
      <c r="H306" s="323"/>
      <c r="I306" s="323"/>
      <c r="J306" s="315"/>
    </row>
    <row r="307" spans="1:10" s="317" customFormat="1" ht="15">
      <c r="A307" s="468"/>
      <c r="B307" s="340"/>
      <c r="C307" s="323"/>
      <c r="D307" s="341"/>
      <c r="E307" s="323"/>
      <c r="F307" s="323"/>
      <c r="G307" s="323"/>
      <c r="H307" s="323"/>
      <c r="I307" s="323"/>
      <c r="J307" s="315"/>
    </row>
    <row r="308" spans="1:10" s="317" customFormat="1" ht="15">
      <c r="A308" s="468"/>
      <c r="B308" s="340"/>
      <c r="C308" s="323"/>
      <c r="D308" s="341"/>
      <c r="E308" s="323"/>
      <c r="F308" s="323"/>
      <c r="G308" s="323"/>
      <c r="H308" s="323"/>
      <c r="I308" s="323"/>
      <c r="J308" s="315"/>
    </row>
    <row r="309" spans="1:10" s="317" customFormat="1" ht="15">
      <c r="A309" s="468"/>
      <c r="B309" s="340"/>
      <c r="C309" s="323"/>
      <c r="D309" s="341"/>
      <c r="E309" s="323"/>
      <c r="F309" s="323"/>
      <c r="G309" s="323"/>
      <c r="H309" s="323"/>
      <c r="I309" s="323"/>
      <c r="J309" s="315"/>
    </row>
    <row r="310" spans="1:10" s="317" customFormat="1" ht="15">
      <c r="A310" s="468"/>
      <c r="B310" s="340"/>
      <c r="C310" s="323"/>
      <c r="D310" s="341"/>
      <c r="E310" s="323"/>
      <c r="F310" s="323"/>
      <c r="G310" s="323"/>
      <c r="H310" s="323"/>
      <c r="I310" s="323"/>
      <c r="J310" s="315"/>
    </row>
    <row r="311" spans="1:10" s="317" customFormat="1" ht="15">
      <c r="A311" s="468"/>
      <c r="B311" s="340"/>
      <c r="C311" s="323"/>
      <c r="D311" s="341"/>
      <c r="E311" s="323"/>
      <c r="F311" s="323"/>
      <c r="G311" s="323"/>
      <c r="H311" s="323"/>
      <c r="I311" s="323"/>
      <c r="J311" s="315"/>
    </row>
    <row r="312" spans="1:10" s="317" customFormat="1" ht="15">
      <c r="A312" s="468"/>
      <c r="B312" s="340"/>
      <c r="C312" s="323"/>
      <c r="D312" s="341"/>
      <c r="E312" s="323"/>
      <c r="F312" s="323"/>
      <c r="G312" s="323"/>
      <c r="H312" s="323"/>
      <c r="I312" s="323"/>
      <c r="J312" s="315"/>
    </row>
    <row r="313" spans="1:10" s="317" customFormat="1" ht="15">
      <c r="A313" s="468"/>
      <c r="B313" s="340"/>
      <c r="C313" s="323"/>
      <c r="D313" s="341"/>
      <c r="E313" s="323"/>
      <c r="F313" s="323"/>
      <c r="G313" s="323"/>
      <c r="H313" s="323"/>
      <c r="I313" s="323"/>
      <c r="J313" s="315"/>
    </row>
    <row r="314" spans="1:10" s="317" customFormat="1" ht="15">
      <c r="A314" s="468"/>
      <c r="B314" s="340"/>
      <c r="C314" s="323"/>
      <c r="D314" s="341"/>
      <c r="E314" s="323"/>
      <c r="F314" s="323"/>
      <c r="G314" s="323"/>
      <c r="H314" s="323"/>
      <c r="I314" s="323"/>
      <c r="J314" s="315"/>
    </row>
    <row r="315" spans="1:10" s="317" customFormat="1" ht="15">
      <c r="A315" s="468"/>
      <c r="B315" s="340"/>
      <c r="C315" s="323"/>
      <c r="D315" s="341"/>
      <c r="E315" s="323"/>
      <c r="F315" s="323"/>
      <c r="G315" s="323"/>
      <c r="H315" s="323"/>
      <c r="I315" s="323"/>
      <c r="J315" s="315"/>
    </row>
    <row r="316" spans="1:10" s="317" customFormat="1" ht="15">
      <c r="A316" s="468"/>
      <c r="B316" s="340"/>
      <c r="C316" s="323"/>
      <c r="D316" s="341"/>
      <c r="E316" s="323"/>
      <c r="F316" s="323"/>
      <c r="G316" s="323"/>
      <c r="H316" s="323"/>
      <c r="I316" s="323"/>
      <c r="J316" s="315"/>
    </row>
    <row r="317" spans="1:10" s="317" customFormat="1" ht="15">
      <c r="A317" s="468"/>
      <c r="B317" s="340"/>
      <c r="C317" s="323"/>
      <c r="D317" s="341"/>
      <c r="E317" s="323"/>
      <c r="F317" s="323"/>
      <c r="G317" s="323"/>
      <c r="H317" s="323"/>
      <c r="I317" s="323"/>
      <c r="J317" s="315"/>
    </row>
    <row r="318" spans="1:10" s="317" customFormat="1" ht="15">
      <c r="A318" s="468"/>
      <c r="B318" s="340"/>
      <c r="C318" s="323"/>
      <c r="D318" s="341"/>
      <c r="E318" s="323"/>
      <c r="F318" s="323"/>
      <c r="G318" s="323"/>
      <c r="H318" s="323"/>
      <c r="I318" s="323"/>
      <c r="J318" s="315"/>
    </row>
    <row r="319" spans="1:10" s="317" customFormat="1" ht="15">
      <c r="A319" s="468"/>
      <c r="B319" s="340"/>
      <c r="C319" s="323"/>
      <c r="D319" s="341"/>
      <c r="E319" s="323"/>
      <c r="F319" s="323"/>
      <c r="G319" s="323"/>
      <c r="H319" s="323"/>
      <c r="I319" s="323"/>
      <c r="J319" s="315"/>
    </row>
    <row r="320" spans="1:10" s="317" customFormat="1" ht="15">
      <c r="A320" s="468"/>
      <c r="B320" s="340"/>
      <c r="C320" s="323"/>
      <c r="D320" s="341"/>
      <c r="E320" s="323"/>
      <c r="F320" s="323"/>
      <c r="G320" s="323"/>
      <c r="H320" s="323"/>
      <c r="I320" s="323"/>
      <c r="J320" s="315"/>
    </row>
    <row r="321" spans="1:10" s="317" customFormat="1" ht="15">
      <c r="A321" s="468"/>
      <c r="B321" s="340"/>
      <c r="C321" s="323"/>
      <c r="D321" s="341"/>
      <c r="E321" s="323"/>
      <c r="F321" s="323"/>
      <c r="G321" s="323"/>
      <c r="H321" s="323"/>
      <c r="I321" s="323"/>
      <c r="J321" s="315"/>
    </row>
    <row r="322" spans="1:10" s="317" customFormat="1" ht="15">
      <c r="A322" s="468"/>
      <c r="B322" s="340"/>
      <c r="C322" s="323"/>
      <c r="D322" s="341"/>
      <c r="E322" s="323"/>
      <c r="F322" s="323"/>
      <c r="G322" s="323"/>
      <c r="H322" s="323"/>
      <c r="I322" s="323"/>
      <c r="J322" s="315"/>
    </row>
    <row r="323" spans="1:10" s="317" customFormat="1" ht="15">
      <c r="A323" s="468"/>
      <c r="B323" s="340"/>
      <c r="C323" s="323"/>
      <c r="D323" s="341"/>
      <c r="E323" s="323"/>
      <c r="F323" s="323"/>
      <c r="G323" s="323"/>
      <c r="H323" s="323"/>
      <c r="I323" s="323"/>
      <c r="J323" s="315"/>
    </row>
    <row r="324" spans="1:10" s="317" customFormat="1" ht="15">
      <c r="A324" s="468"/>
      <c r="B324" s="340"/>
      <c r="C324" s="323"/>
      <c r="D324" s="341"/>
      <c r="E324" s="323"/>
      <c r="F324" s="323"/>
      <c r="G324" s="323"/>
      <c r="H324" s="323"/>
      <c r="I324" s="323"/>
      <c r="J324" s="315"/>
    </row>
    <row r="325" spans="1:10" s="317" customFormat="1" ht="15">
      <c r="A325" s="468"/>
      <c r="B325" s="340"/>
      <c r="C325" s="323"/>
      <c r="D325" s="341"/>
      <c r="E325" s="323"/>
      <c r="F325" s="323"/>
      <c r="G325" s="323"/>
      <c r="H325" s="323"/>
      <c r="I325" s="323"/>
      <c r="J325" s="315"/>
    </row>
    <row r="326" spans="1:10" s="317" customFormat="1" ht="15">
      <c r="A326" s="468"/>
      <c r="B326" s="340"/>
      <c r="C326" s="323"/>
      <c r="D326" s="341"/>
      <c r="E326" s="323"/>
      <c r="F326" s="323"/>
      <c r="G326" s="323"/>
      <c r="H326" s="323"/>
      <c r="I326" s="323"/>
      <c r="J326" s="315"/>
    </row>
    <row r="327" spans="1:10" s="317" customFormat="1" ht="15">
      <c r="A327" s="468"/>
      <c r="B327" s="340"/>
      <c r="C327" s="323"/>
      <c r="D327" s="341"/>
      <c r="E327" s="323"/>
      <c r="F327" s="323"/>
      <c r="G327" s="323"/>
      <c r="H327" s="323"/>
      <c r="I327" s="323"/>
      <c r="J327" s="315"/>
    </row>
    <row r="328" spans="1:10" s="317" customFormat="1" ht="15">
      <c r="A328" s="468"/>
      <c r="B328" s="340"/>
      <c r="C328" s="323"/>
      <c r="D328" s="341"/>
      <c r="E328" s="323"/>
      <c r="F328" s="323"/>
      <c r="G328" s="323"/>
      <c r="H328" s="323"/>
      <c r="I328" s="323"/>
      <c r="J328" s="315"/>
    </row>
    <row r="329" spans="1:10" s="317" customFormat="1" ht="15">
      <c r="A329" s="468"/>
      <c r="B329" s="340"/>
      <c r="C329" s="323"/>
      <c r="D329" s="341"/>
      <c r="E329" s="323"/>
      <c r="F329" s="323"/>
      <c r="G329" s="323"/>
      <c r="H329" s="323"/>
      <c r="I329" s="323"/>
      <c r="J329" s="315"/>
    </row>
    <row r="330" spans="1:10" s="317" customFormat="1" ht="15">
      <c r="A330" s="468"/>
      <c r="B330" s="340"/>
      <c r="C330" s="323"/>
      <c r="D330" s="341"/>
      <c r="E330" s="323"/>
      <c r="F330" s="323"/>
      <c r="G330" s="323"/>
      <c r="H330" s="323"/>
      <c r="I330" s="323"/>
      <c r="J330" s="315"/>
    </row>
    <row r="331" spans="1:10" s="317" customFormat="1" ht="15">
      <c r="A331" s="468"/>
      <c r="B331" s="340"/>
      <c r="C331" s="323"/>
      <c r="D331" s="341"/>
      <c r="E331" s="323"/>
      <c r="F331" s="323"/>
      <c r="G331" s="323"/>
      <c r="H331" s="323"/>
      <c r="I331" s="323"/>
      <c r="J331" s="315"/>
    </row>
    <row r="332" spans="1:10" s="317" customFormat="1" ht="15">
      <c r="A332" s="468"/>
      <c r="B332" s="340"/>
      <c r="C332" s="323"/>
      <c r="D332" s="341"/>
      <c r="E332" s="323"/>
      <c r="F332" s="323"/>
      <c r="G332" s="323"/>
      <c r="H332" s="323"/>
      <c r="I332" s="323"/>
      <c r="J332" s="315"/>
    </row>
    <row r="333" spans="1:10" s="317" customFormat="1" ht="15">
      <c r="A333" s="468"/>
      <c r="B333" s="340"/>
      <c r="C333" s="323"/>
      <c r="D333" s="341"/>
      <c r="E333" s="323"/>
      <c r="F333" s="323"/>
      <c r="G333" s="323"/>
      <c r="H333" s="323"/>
      <c r="I333" s="323"/>
      <c r="J333" s="315"/>
    </row>
    <row r="334" spans="1:10" s="317" customFormat="1" ht="15">
      <c r="A334" s="468"/>
      <c r="B334" s="340"/>
      <c r="C334" s="323"/>
      <c r="D334" s="341"/>
      <c r="E334" s="323"/>
      <c r="F334" s="323"/>
      <c r="G334" s="323"/>
      <c r="H334" s="323"/>
      <c r="I334" s="323"/>
      <c r="J334" s="315"/>
    </row>
    <row r="335" spans="1:10" s="317" customFormat="1" ht="15">
      <c r="A335" s="468"/>
      <c r="B335" s="340"/>
      <c r="C335" s="323"/>
      <c r="D335" s="341">
        <f aca="true" t="shared" si="4" ref="D335:D351">ROUNDUP(C335*120%,0)</f>
        <v>0</v>
      </c>
      <c r="E335" s="323"/>
      <c r="F335" s="323"/>
      <c r="G335" s="323"/>
      <c r="H335" s="323"/>
      <c r="I335" s="323"/>
      <c r="J335" s="315"/>
    </row>
    <row r="336" spans="1:10" s="317" customFormat="1" ht="15">
      <c r="A336" s="468"/>
      <c r="B336" s="340"/>
      <c r="C336" s="323"/>
      <c r="D336" s="341">
        <f t="shared" si="4"/>
        <v>0</v>
      </c>
      <c r="E336" s="323"/>
      <c r="F336" s="323"/>
      <c r="G336" s="323"/>
      <c r="H336" s="323"/>
      <c r="I336" s="323"/>
      <c r="J336" s="315"/>
    </row>
    <row r="337" spans="1:10" s="317" customFormat="1" ht="15">
      <c r="A337" s="468"/>
      <c r="B337" s="340"/>
      <c r="C337" s="323"/>
      <c r="D337" s="341">
        <f t="shared" si="4"/>
        <v>0</v>
      </c>
      <c r="E337" s="323"/>
      <c r="F337" s="323"/>
      <c r="G337" s="323"/>
      <c r="H337" s="323"/>
      <c r="I337" s="323"/>
      <c r="J337" s="315"/>
    </row>
    <row r="338" spans="1:10" s="317" customFormat="1" ht="15">
      <c r="A338" s="468"/>
      <c r="B338" s="340"/>
      <c r="C338" s="323"/>
      <c r="D338" s="341">
        <f t="shared" si="4"/>
        <v>0</v>
      </c>
      <c r="E338" s="323"/>
      <c r="F338" s="323"/>
      <c r="G338" s="323"/>
      <c r="H338" s="323"/>
      <c r="I338" s="323"/>
      <c r="J338" s="315"/>
    </row>
    <row r="339" spans="1:10" s="317" customFormat="1" ht="15">
      <c r="A339" s="468"/>
      <c r="B339" s="340"/>
      <c r="C339" s="323"/>
      <c r="D339" s="341">
        <f t="shared" si="4"/>
        <v>0</v>
      </c>
      <c r="E339" s="323"/>
      <c r="F339" s="323"/>
      <c r="G339" s="323"/>
      <c r="H339" s="323"/>
      <c r="I339" s="323"/>
      <c r="J339" s="315"/>
    </row>
    <row r="340" spans="1:10" s="317" customFormat="1" ht="15">
      <c r="A340" s="468"/>
      <c r="B340" s="340"/>
      <c r="C340" s="323"/>
      <c r="D340" s="341">
        <f t="shared" si="4"/>
        <v>0</v>
      </c>
      <c r="E340" s="323"/>
      <c r="F340" s="323"/>
      <c r="G340" s="323"/>
      <c r="H340" s="323"/>
      <c r="I340" s="323"/>
      <c r="J340" s="315"/>
    </row>
    <row r="341" spans="1:10" s="317" customFormat="1" ht="15">
      <c r="A341" s="468"/>
      <c r="B341" s="340"/>
      <c r="C341" s="323"/>
      <c r="D341" s="341">
        <f t="shared" si="4"/>
        <v>0</v>
      </c>
      <c r="E341" s="323"/>
      <c r="F341" s="323"/>
      <c r="G341" s="323"/>
      <c r="H341" s="323"/>
      <c r="I341" s="323"/>
      <c r="J341" s="315"/>
    </row>
    <row r="342" spans="1:10" s="317" customFormat="1" ht="15">
      <c r="A342" s="468"/>
      <c r="B342" s="340"/>
      <c r="C342" s="323"/>
      <c r="D342" s="341">
        <f t="shared" si="4"/>
        <v>0</v>
      </c>
      <c r="E342" s="323"/>
      <c r="F342" s="323"/>
      <c r="G342" s="323"/>
      <c r="H342" s="323"/>
      <c r="I342" s="323"/>
      <c r="J342" s="315"/>
    </row>
    <row r="343" spans="1:10" s="317" customFormat="1" ht="15">
      <c r="A343" s="468"/>
      <c r="B343" s="340"/>
      <c r="C343" s="323"/>
      <c r="D343" s="341">
        <f t="shared" si="4"/>
        <v>0</v>
      </c>
      <c r="E343" s="323"/>
      <c r="F343" s="323"/>
      <c r="G343" s="323"/>
      <c r="H343" s="323"/>
      <c r="I343" s="323"/>
      <c r="J343" s="315"/>
    </row>
    <row r="344" spans="2:10" s="317" customFormat="1" ht="15">
      <c r="B344" s="340"/>
      <c r="C344" s="323"/>
      <c r="D344" s="341">
        <f t="shared" si="4"/>
        <v>0</v>
      </c>
      <c r="E344" s="323"/>
      <c r="F344" s="323"/>
      <c r="G344" s="323"/>
      <c r="H344" s="323"/>
      <c r="I344" s="323"/>
      <c r="J344" s="315"/>
    </row>
    <row r="345" spans="2:10" s="317" customFormat="1" ht="15">
      <c r="B345" s="340"/>
      <c r="C345" s="323"/>
      <c r="D345" s="341">
        <f t="shared" si="4"/>
        <v>0</v>
      </c>
      <c r="E345" s="323"/>
      <c r="F345" s="323"/>
      <c r="G345" s="323"/>
      <c r="H345" s="323"/>
      <c r="I345" s="323"/>
      <c r="J345" s="315"/>
    </row>
    <row r="346" spans="2:10" s="317" customFormat="1" ht="14.25">
      <c r="B346" s="318"/>
      <c r="D346" s="319">
        <f t="shared" si="4"/>
        <v>0</v>
      </c>
      <c r="H346" s="315"/>
      <c r="I346" s="315"/>
      <c r="J346" s="315"/>
    </row>
    <row r="347" spans="2:10" s="317" customFormat="1" ht="14.25">
      <c r="B347" s="318"/>
      <c r="D347" s="319">
        <f t="shared" si="4"/>
        <v>0</v>
      </c>
      <c r="H347" s="315"/>
      <c r="I347" s="315"/>
      <c r="J347" s="315"/>
    </row>
    <row r="348" spans="2:10" s="317" customFormat="1" ht="14.25">
      <c r="B348" s="318"/>
      <c r="D348" s="319">
        <f t="shared" si="4"/>
        <v>0</v>
      </c>
      <c r="H348" s="315"/>
      <c r="I348" s="315"/>
      <c r="J348" s="315"/>
    </row>
    <row r="349" spans="2:10" s="317" customFormat="1" ht="14.25">
      <c r="B349" s="318"/>
      <c r="D349" s="319">
        <f t="shared" si="4"/>
        <v>0</v>
      </c>
      <c r="H349" s="315"/>
      <c r="I349" s="315"/>
      <c r="J349" s="315"/>
    </row>
    <row r="350" spans="2:10" s="317" customFormat="1" ht="14.25">
      <c r="B350" s="318"/>
      <c r="D350" s="319">
        <f t="shared" si="4"/>
        <v>0</v>
      </c>
      <c r="H350" s="315"/>
      <c r="I350" s="315"/>
      <c r="J350" s="315"/>
    </row>
    <row r="351" spans="2:10" s="317" customFormat="1" ht="14.25">
      <c r="B351" s="318"/>
      <c r="D351" s="319">
        <f t="shared" si="4"/>
        <v>0</v>
      </c>
      <c r="H351" s="315"/>
      <c r="I351" s="315"/>
      <c r="J351" s="315"/>
    </row>
  </sheetData>
  <sheetProtection sheet="1"/>
  <mergeCells count="4">
    <mergeCell ref="B4:B6"/>
    <mergeCell ref="C4:C5"/>
    <mergeCell ref="D4:F4"/>
    <mergeCell ref="G4:G5"/>
  </mergeCells>
  <dataValidations count="1">
    <dataValidation type="whole" allowBlank="1" showInputMessage="1" showErrorMessage="1" sqref="E249:F251 E8:F247">
      <formula1>1</formula1>
      <formula2>100</formula2>
    </dataValidation>
  </dataValidations>
  <printOptions horizontalCentered="1"/>
  <pageMargins left="0.3937007874015748" right="0.3937007874015748" top="0.984251968503937" bottom="0.5511811023622047" header="0.2755905511811024" footer="0.2755905511811024"/>
  <pageSetup fitToHeight="0" fitToWidth="1" horizontalDpi="600" verticalDpi="600" orientation="portrait" paperSize="9" scale="88" r:id="rId2"/>
  <headerFooter>
    <oddHeader>&amp;C&amp;"Arial,Fett"Übersicht über die ab 1. Januar 2015 geltenden Pauschbeträge für Verpflegungsmehraufwendungen und Übernachtungskosten im Ausland
&amp;9(BMF-Schreiben vom 19. Dezember 2014 (GZ: IV C 5 - S 2353/08/10006 :005 )&amp;"Arial,Standard"&amp;11
</oddHeader>
    <oddFooter>&amp;R&amp;P</oddFooter>
  </headerFooter>
  <rowBreaks count="2" manualBreakCount="2">
    <brk id="49" min="1" max="6" man="1"/>
    <brk id="204" min="1" max="6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O378"/>
  <sheetViews>
    <sheetView showGridLines="0" showRowColHeaders="0" showZeros="0" zoomScale="150" zoomScaleNormal="150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9" max="9" width="12.00390625" style="0" customWidth="1"/>
  </cols>
  <sheetData>
    <row r="1" spans="2:11" ht="12.75"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2:11" ht="15">
      <c r="B2" s="66" t="s">
        <v>73</v>
      </c>
      <c r="C2" s="2"/>
      <c r="D2" s="2"/>
      <c r="E2" s="2"/>
      <c r="F2" s="2"/>
      <c r="G2" s="2"/>
      <c r="H2" s="2"/>
      <c r="I2" s="2"/>
      <c r="J2" s="354"/>
      <c r="K2" s="269"/>
    </row>
    <row r="5" spans="2:9" ht="12.75">
      <c r="B5" s="619" t="s">
        <v>304</v>
      </c>
      <c r="C5" s="619"/>
      <c r="D5" s="619"/>
      <c r="E5" s="619"/>
      <c r="F5" s="619"/>
      <c r="G5" s="619"/>
      <c r="H5" s="619"/>
      <c r="I5" s="619"/>
    </row>
    <row r="6" spans="2:9" ht="12.75">
      <c r="B6" s="619" t="s">
        <v>305</v>
      </c>
      <c r="C6" s="619"/>
      <c r="D6" s="619"/>
      <c r="E6" s="619"/>
      <c r="F6" s="619"/>
      <c r="G6" s="619"/>
      <c r="H6" s="619"/>
      <c r="I6" s="619"/>
    </row>
    <row r="8" spans="2:6" ht="12.75">
      <c r="B8" s="418" t="s">
        <v>306</v>
      </c>
      <c r="C8" s="419"/>
      <c r="D8" s="419"/>
      <c r="F8" s="420"/>
    </row>
    <row r="9" spans="2:15" ht="12.75">
      <c r="B9" s="418" t="s">
        <v>307</v>
      </c>
      <c r="C9" s="419"/>
      <c r="D9" s="419"/>
      <c r="F9" s="420"/>
      <c r="K9" s="466"/>
      <c r="L9" s="466"/>
      <c r="M9" s="466"/>
      <c r="N9" s="466"/>
      <c r="O9" s="466"/>
    </row>
    <row r="10" spans="2:15" ht="12.75">
      <c r="B10" s="418" t="s">
        <v>308</v>
      </c>
      <c r="C10" s="419"/>
      <c r="D10" s="419"/>
      <c r="F10" s="420"/>
      <c r="K10" s="466"/>
      <c r="L10" s="466"/>
      <c r="M10" s="466"/>
      <c r="N10" s="466"/>
      <c r="O10" s="466"/>
    </row>
    <row r="11" spans="2:15" ht="12.75">
      <c r="B11" s="418" t="s">
        <v>366</v>
      </c>
      <c r="C11" s="419"/>
      <c r="D11" s="419"/>
      <c r="F11" s="420"/>
      <c r="K11" s="466"/>
      <c r="L11" s="466"/>
      <c r="M11" s="466"/>
      <c r="N11" s="466"/>
      <c r="O11" s="466"/>
    </row>
    <row r="12" spans="2:6" ht="12.75">
      <c r="B12" s="418" t="s">
        <v>367</v>
      </c>
      <c r="C12" s="419"/>
      <c r="D12" s="419"/>
      <c r="F12" s="420"/>
    </row>
    <row r="13" spans="2:6" ht="12.75">
      <c r="B13" s="418" t="s">
        <v>309</v>
      </c>
      <c r="C13" s="419"/>
      <c r="D13" s="419"/>
      <c r="F13" s="420"/>
    </row>
    <row r="14" spans="2:6" ht="12.75">
      <c r="B14" s="418" t="s">
        <v>442</v>
      </c>
      <c r="C14" s="419"/>
      <c r="D14" s="419"/>
      <c r="F14" s="420"/>
    </row>
    <row r="15" spans="2:6" ht="12.75">
      <c r="B15" s="418" t="s">
        <v>352</v>
      </c>
      <c r="C15" s="419"/>
      <c r="D15" s="419"/>
      <c r="F15" s="420"/>
    </row>
    <row r="17" ht="12.75">
      <c r="B17" s="421" t="s">
        <v>368</v>
      </c>
    </row>
    <row r="18" ht="12.75">
      <c r="B18" s="421"/>
    </row>
    <row r="19" ht="12.75">
      <c r="B19" s="421"/>
    </row>
    <row r="20" ht="12.75">
      <c r="B20" s="422" t="s">
        <v>310</v>
      </c>
    </row>
    <row r="21" ht="12.75">
      <c r="B21" s="421"/>
    </row>
    <row r="22" ht="12.75">
      <c r="B22" s="421" t="s">
        <v>311</v>
      </c>
    </row>
    <row r="24" ht="12.75">
      <c r="B24" s="418" t="s">
        <v>312</v>
      </c>
    </row>
    <row r="25" ht="12.75">
      <c r="B25" s="418" t="s">
        <v>313</v>
      </c>
    </row>
    <row r="26" ht="12.75">
      <c r="B26" s="418" t="s">
        <v>314</v>
      </c>
    </row>
    <row r="27" ht="12.75">
      <c r="B27" s="418" t="s">
        <v>315</v>
      </c>
    </row>
    <row r="28" ht="12.75" hidden="1">
      <c r="B28" s="418"/>
    </row>
    <row r="29" ht="12.75">
      <c r="B29" s="418" t="s">
        <v>396</v>
      </c>
    </row>
    <row r="30" ht="12.75">
      <c r="B30" s="418"/>
    </row>
    <row r="31" ht="12.75">
      <c r="B31" s="421" t="s">
        <v>397</v>
      </c>
    </row>
    <row r="32" ht="12.75">
      <c r="B32" s="418"/>
    </row>
    <row r="33" ht="12.75">
      <c r="B33" s="423" t="s">
        <v>316</v>
      </c>
    </row>
    <row r="34" ht="12.75">
      <c r="B34" s="423" t="s">
        <v>398</v>
      </c>
    </row>
    <row r="35" ht="12.75">
      <c r="B35" s="423" t="s">
        <v>317</v>
      </c>
    </row>
    <row r="36" ht="12.75">
      <c r="B36" s="423"/>
    </row>
    <row r="37" ht="12.75">
      <c r="B37" s="421" t="s">
        <v>399</v>
      </c>
    </row>
    <row r="38" ht="12.75">
      <c r="B38" s="421"/>
    </row>
    <row r="39" ht="12.75">
      <c r="B39" s="423"/>
    </row>
    <row r="40" ht="12.75">
      <c r="B40" s="424" t="s">
        <v>318</v>
      </c>
    </row>
    <row r="41" ht="12.75">
      <c r="B41" s="423"/>
    </row>
    <row r="42" ht="12.75">
      <c r="B42" s="421" t="s">
        <v>319</v>
      </c>
    </row>
    <row r="43" ht="12.75">
      <c r="B43" s="423"/>
    </row>
    <row r="44" ht="12.75">
      <c r="B44" s="418" t="s">
        <v>320</v>
      </c>
    </row>
    <row r="45" ht="12.75">
      <c r="B45" s="418" t="s">
        <v>321</v>
      </c>
    </row>
    <row r="46" ht="12.75">
      <c r="B46" s="418" t="s">
        <v>432</v>
      </c>
    </row>
    <row r="47" ht="12.75">
      <c r="B47" s="418" t="s">
        <v>322</v>
      </c>
    </row>
    <row r="48" ht="12.75">
      <c r="B48" s="418" t="s">
        <v>400</v>
      </c>
    </row>
    <row r="49" ht="12.75">
      <c r="B49" s="418"/>
    </row>
    <row r="50" spans="2:11" ht="12.75">
      <c r="B50" s="451" t="s">
        <v>369</v>
      </c>
      <c r="C50" s="451"/>
      <c r="D50" s="462"/>
      <c r="E50" s="462"/>
      <c r="F50" s="462"/>
      <c r="G50" s="462"/>
      <c r="H50" s="462"/>
      <c r="I50" s="462"/>
      <c r="J50" s="462"/>
      <c r="K50" s="451"/>
    </row>
    <row r="51" spans="2:11" ht="12.75">
      <c r="B51" s="451" t="s">
        <v>353</v>
      </c>
      <c r="C51" s="451"/>
      <c r="D51" s="462"/>
      <c r="E51" s="462"/>
      <c r="F51" s="462"/>
      <c r="G51" s="462"/>
      <c r="H51" s="462"/>
      <c r="I51" s="462"/>
      <c r="J51" s="462"/>
      <c r="K51" s="451"/>
    </row>
    <row r="52" spans="2:11" ht="12.75">
      <c r="B52" s="451" t="s">
        <v>434</v>
      </c>
      <c r="C52" s="451"/>
      <c r="D52" s="451"/>
      <c r="E52" s="451"/>
      <c r="F52" s="451"/>
      <c r="G52" s="451"/>
      <c r="H52" s="451"/>
      <c r="I52" s="451"/>
      <c r="J52" s="451"/>
      <c r="K52" s="451"/>
    </row>
    <row r="53" spans="2:11" ht="12.75">
      <c r="B53" s="451" t="s">
        <v>433</v>
      </c>
      <c r="C53" s="451"/>
      <c r="D53" s="451"/>
      <c r="E53" s="451"/>
      <c r="F53" s="451"/>
      <c r="G53" s="451"/>
      <c r="H53" s="451"/>
      <c r="I53" s="451"/>
      <c r="J53" s="451"/>
      <c r="K53" s="451"/>
    </row>
    <row r="54" spans="2:11" ht="12.75">
      <c r="B54" s="451" t="s">
        <v>370</v>
      </c>
      <c r="C54" s="451"/>
      <c r="D54" s="451"/>
      <c r="E54" s="451"/>
      <c r="F54" s="451"/>
      <c r="G54" s="451"/>
      <c r="H54" s="451"/>
      <c r="I54" s="451"/>
      <c r="J54" s="451"/>
      <c r="K54" s="451"/>
    </row>
    <row r="55" ht="12.75">
      <c r="B55" s="451" t="s">
        <v>354</v>
      </c>
    </row>
    <row r="56" ht="12.75">
      <c r="B56" s="423"/>
    </row>
    <row r="57" ht="12.75">
      <c r="B57" s="451"/>
    </row>
    <row r="58" ht="12.75">
      <c r="B58" s="451"/>
    </row>
    <row r="59" ht="12.75">
      <c r="B59" s="451"/>
    </row>
    <row r="60" ht="12.75">
      <c r="B60" s="418"/>
    </row>
    <row r="61" ht="12.75">
      <c r="B61" s="418"/>
    </row>
    <row r="62" ht="12.75">
      <c r="B62" s="423" t="s">
        <v>323</v>
      </c>
    </row>
    <row r="63" ht="12.75">
      <c r="B63" s="425" t="s">
        <v>324</v>
      </c>
    </row>
    <row r="64" ht="12.75">
      <c r="B64" s="418"/>
    </row>
    <row r="65" ht="12.75">
      <c r="B65" s="423" t="s">
        <v>325</v>
      </c>
    </row>
    <row r="66" ht="12.75">
      <c r="B66" s="423" t="s">
        <v>326</v>
      </c>
    </row>
    <row r="67" ht="12.75">
      <c r="B67" s="423" t="s">
        <v>327</v>
      </c>
    </row>
    <row r="68" ht="12.75">
      <c r="B68" s="423"/>
    </row>
    <row r="69" ht="12.75">
      <c r="B69" s="423" t="s">
        <v>401</v>
      </c>
    </row>
    <row r="70" ht="12.75">
      <c r="B70" s="421" t="s">
        <v>328</v>
      </c>
    </row>
    <row r="71" ht="12.75">
      <c r="B71" s="421"/>
    </row>
    <row r="72" ht="12.75">
      <c r="B72" s="423"/>
    </row>
    <row r="73" ht="12.75">
      <c r="B73" s="424" t="s">
        <v>0</v>
      </c>
    </row>
    <row r="74" ht="12.75">
      <c r="B74" s="423"/>
    </row>
    <row r="75" ht="12.75">
      <c r="B75" s="421" t="s">
        <v>329</v>
      </c>
    </row>
    <row r="76" ht="12.75">
      <c r="B76" s="423"/>
    </row>
    <row r="77" ht="12.75">
      <c r="B77" s="418" t="s">
        <v>330</v>
      </c>
    </row>
    <row r="78" ht="12.75">
      <c r="B78" s="418" t="s">
        <v>331</v>
      </c>
    </row>
    <row r="79" ht="12.75">
      <c r="B79" s="418" t="s">
        <v>332</v>
      </c>
    </row>
    <row r="80" ht="12.75">
      <c r="B80" s="418" t="s">
        <v>333</v>
      </c>
    </row>
    <row r="81" ht="12.75">
      <c r="B81" s="418" t="s">
        <v>334</v>
      </c>
    </row>
    <row r="82" ht="12.75">
      <c r="B82" s="418" t="s">
        <v>335</v>
      </c>
    </row>
    <row r="84" ht="12.75">
      <c r="B84" s="421" t="s">
        <v>435</v>
      </c>
    </row>
    <row r="86" ht="12.75">
      <c r="B86" s="423" t="s">
        <v>436</v>
      </c>
    </row>
    <row r="87" ht="12.75">
      <c r="B87" s="423" t="s">
        <v>336</v>
      </c>
    </row>
    <row r="88" ht="12.75">
      <c r="B88" s="423" t="s">
        <v>337</v>
      </c>
    </row>
    <row r="89" ht="12.75">
      <c r="B89" s="423"/>
    </row>
    <row r="90" ht="12.75">
      <c r="B90" s="418" t="s">
        <v>338</v>
      </c>
    </row>
    <row r="91" ht="12.75">
      <c r="B91" s="418" t="s">
        <v>339</v>
      </c>
    </row>
    <row r="92" ht="12.75">
      <c r="B92" s="418"/>
    </row>
    <row r="93" ht="12.75">
      <c r="B93" s="423" t="s">
        <v>402</v>
      </c>
    </row>
    <row r="94" ht="12.75">
      <c r="B94" s="421" t="s">
        <v>340</v>
      </c>
    </row>
    <row r="95" ht="12.75">
      <c r="B95" s="421"/>
    </row>
    <row r="96" ht="12.75">
      <c r="B96" s="421"/>
    </row>
    <row r="97" ht="12.75">
      <c r="B97" s="422" t="s">
        <v>294</v>
      </c>
    </row>
    <row r="98" ht="12.75">
      <c r="B98" s="422"/>
    </row>
    <row r="99" ht="12.75">
      <c r="B99" s="421" t="s">
        <v>365</v>
      </c>
    </row>
    <row r="100" ht="12.75">
      <c r="B100" s="421"/>
    </row>
    <row r="101" ht="12.75">
      <c r="B101" s="421" t="s">
        <v>403</v>
      </c>
    </row>
    <row r="102" ht="12.75">
      <c r="B102" s="421" t="s">
        <v>404</v>
      </c>
    </row>
    <row r="103" ht="12.75">
      <c r="B103" s="421"/>
    </row>
    <row r="104" ht="12.75">
      <c r="B104" s="451" t="s">
        <v>437</v>
      </c>
    </row>
    <row r="105" ht="12.75">
      <c r="B105" s="512" t="s">
        <v>438</v>
      </c>
    </row>
    <row r="106" ht="12.75">
      <c r="B106" s="451" t="s">
        <v>410</v>
      </c>
    </row>
    <row r="107" ht="12.75">
      <c r="B107" s="421"/>
    </row>
    <row r="108" ht="12.75">
      <c r="B108" s="422" t="s">
        <v>371</v>
      </c>
    </row>
    <row r="109" ht="12.75">
      <c r="B109" s="421"/>
    </row>
    <row r="110" ht="12.75">
      <c r="B110" s="421" t="s">
        <v>358</v>
      </c>
    </row>
    <row r="111" ht="12.75">
      <c r="B111" s="421"/>
    </row>
    <row r="112" ht="12.75">
      <c r="B112" s="423" t="s">
        <v>342</v>
      </c>
    </row>
    <row r="113" ht="12.75">
      <c r="B113" s="423" t="s">
        <v>364</v>
      </c>
    </row>
    <row r="114" ht="12.75">
      <c r="B114" s="423"/>
    </row>
    <row r="115" ht="12.75">
      <c r="B115" s="421" t="s">
        <v>344</v>
      </c>
    </row>
    <row r="116" ht="12.75">
      <c r="B116" s="421"/>
    </row>
    <row r="117" ht="12.75">
      <c r="B117" s="421" t="s">
        <v>363</v>
      </c>
    </row>
    <row r="118" ht="12.75">
      <c r="B118" s="421"/>
    </row>
    <row r="119" ht="12.75">
      <c r="B119" s="422" t="s">
        <v>372</v>
      </c>
    </row>
    <row r="120" ht="12.75">
      <c r="B120" s="421"/>
    </row>
    <row r="121" ht="12.75">
      <c r="B121" s="421" t="s">
        <v>405</v>
      </c>
    </row>
    <row r="122" ht="12.75">
      <c r="B122" s="421"/>
    </row>
    <row r="123" ht="12.75">
      <c r="B123" s="421" t="s">
        <v>359</v>
      </c>
    </row>
    <row r="124" ht="12.75">
      <c r="B124" s="421"/>
    </row>
    <row r="125" ht="12.75">
      <c r="B125" s="421" t="s">
        <v>360</v>
      </c>
    </row>
    <row r="126" ht="12.75">
      <c r="B126" s="421"/>
    </row>
    <row r="127" ht="12.75">
      <c r="B127" s="423" t="s">
        <v>342</v>
      </c>
    </row>
    <row r="128" ht="12.75">
      <c r="B128" s="423" t="s">
        <v>343</v>
      </c>
    </row>
    <row r="129" ht="12.75">
      <c r="B129" s="423"/>
    </row>
    <row r="130" ht="12.75">
      <c r="B130" s="451" t="s">
        <v>361</v>
      </c>
    </row>
    <row r="131" ht="12.75">
      <c r="B131" s="423"/>
    </row>
    <row r="132" ht="12.75">
      <c r="B132" s="423" t="s">
        <v>406</v>
      </c>
    </row>
    <row r="133" ht="12.75">
      <c r="B133" s="423" t="s">
        <v>362</v>
      </c>
    </row>
    <row r="134" ht="12.75">
      <c r="B134" s="423"/>
    </row>
    <row r="135" ht="12.75">
      <c r="B135" s="421" t="s">
        <v>344</v>
      </c>
    </row>
    <row r="136" ht="12.75">
      <c r="B136" s="421"/>
    </row>
    <row r="137" ht="12.75">
      <c r="B137" s="421" t="s">
        <v>363</v>
      </c>
    </row>
    <row r="138" ht="12.75">
      <c r="B138" s="421"/>
    </row>
    <row r="139" ht="25.5" customHeight="1">
      <c r="B139" s="421"/>
    </row>
    <row r="140" ht="12.75">
      <c r="B140" s="422" t="s">
        <v>300</v>
      </c>
    </row>
    <row r="141" ht="12.75">
      <c r="B141" s="421"/>
    </row>
    <row r="142" ht="12.75">
      <c r="B142" s="421" t="s">
        <v>355</v>
      </c>
    </row>
    <row r="143" ht="12.75">
      <c r="B143" s="421"/>
    </row>
    <row r="144" ht="12.75">
      <c r="B144" s="423" t="s">
        <v>407</v>
      </c>
    </row>
    <row r="145" ht="12.75">
      <c r="B145" s="421" t="s">
        <v>341</v>
      </c>
    </row>
    <row r="146" ht="12.75">
      <c r="B146" s="421"/>
    </row>
    <row r="147" ht="12.75">
      <c r="B147" s="421" t="s">
        <v>356</v>
      </c>
    </row>
    <row r="148" ht="12.75">
      <c r="B148" s="421" t="s">
        <v>357</v>
      </c>
    </row>
    <row r="149" ht="12.75">
      <c r="B149" s="421"/>
    </row>
    <row r="150" ht="12.75">
      <c r="B150" s="421" t="s">
        <v>345</v>
      </c>
    </row>
    <row r="151" ht="12.75">
      <c r="B151" s="421"/>
    </row>
    <row r="152" ht="12.75">
      <c r="B152" s="421"/>
    </row>
    <row r="153" ht="12.75">
      <c r="B153" s="424" t="s">
        <v>7</v>
      </c>
    </row>
    <row r="154" ht="12.75">
      <c r="B154" s="424"/>
    </row>
    <row r="155" ht="12.75">
      <c r="B155" s="423" t="s">
        <v>346</v>
      </c>
    </row>
    <row r="156" ht="12.75">
      <c r="B156" s="423" t="s">
        <v>347</v>
      </c>
    </row>
    <row r="157" ht="12.75">
      <c r="B157" s="423"/>
    </row>
    <row r="159" ht="12.75">
      <c r="B159" s="424" t="s">
        <v>348</v>
      </c>
    </row>
    <row r="160" ht="12.75">
      <c r="B160" s="424"/>
    </row>
    <row r="161" ht="12.75">
      <c r="B161" s="423" t="s">
        <v>425</v>
      </c>
    </row>
    <row r="162" ht="12.75">
      <c r="B162" s="426" t="s">
        <v>426</v>
      </c>
    </row>
    <row r="163" ht="12.75">
      <c r="B163" s="426"/>
    </row>
    <row r="164" ht="12.75">
      <c r="B164" s="421"/>
    </row>
    <row r="165" spans="2:9" ht="12.75">
      <c r="B165" s="452" t="s">
        <v>510</v>
      </c>
      <c r="C165" s="453"/>
      <c r="D165" s="453"/>
      <c r="E165" s="453"/>
      <c r="F165" s="453"/>
      <c r="G165" s="453"/>
      <c r="H165" s="453"/>
      <c r="I165" s="454"/>
    </row>
    <row r="166" spans="2:9" ht="12.75">
      <c r="B166" s="455" t="s">
        <v>512</v>
      </c>
      <c r="C166" s="456"/>
      <c r="D166" s="456"/>
      <c r="E166" s="456"/>
      <c r="F166" s="456"/>
      <c r="G166" s="456"/>
      <c r="H166" s="456"/>
      <c r="I166" s="457"/>
    </row>
    <row r="167" spans="2:9" ht="12.75">
      <c r="B167" s="541" t="s">
        <v>511</v>
      </c>
      <c r="C167" s="459"/>
      <c r="D167" s="459"/>
      <c r="E167" s="459"/>
      <c r="F167" s="459"/>
      <c r="G167" s="459"/>
      <c r="H167" s="459"/>
      <c r="I167" s="460"/>
    </row>
    <row r="168" spans="2:9" ht="12.75" hidden="1">
      <c r="B168" s="458"/>
      <c r="C168" s="459"/>
      <c r="D168" s="459"/>
      <c r="E168" s="459"/>
      <c r="F168" s="459"/>
      <c r="G168" s="459"/>
      <c r="H168" s="459"/>
      <c r="I168" s="460"/>
    </row>
    <row r="349" spans="2:14" ht="12.75">
      <c r="B349" s="471" t="s">
        <v>413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2" ht="12.75">
      <c r="B352" s="469" t="s">
        <v>414</v>
      </c>
    </row>
    <row r="353" ht="12.75">
      <c r="B353" s="469" t="s">
        <v>422</v>
      </c>
    </row>
    <row r="354" ht="12.75">
      <c r="B354" s="469" t="s">
        <v>421</v>
      </c>
    </row>
    <row r="355" ht="12.75">
      <c r="B355" s="1"/>
    </row>
    <row r="356" ht="12.75">
      <c r="B356" s="469" t="s">
        <v>415</v>
      </c>
    </row>
    <row r="357" ht="12.75">
      <c r="B357" s="469" t="s">
        <v>416</v>
      </c>
    </row>
    <row r="358" ht="12.75">
      <c r="B358" s="469" t="s">
        <v>417</v>
      </c>
    </row>
    <row r="359" ht="12.75">
      <c r="B359" s="1"/>
    </row>
    <row r="360" ht="12.75">
      <c r="B360" s="469" t="s">
        <v>418</v>
      </c>
    </row>
    <row r="361" ht="12.75">
      <c r="B361" s="469" t="s">
        <v>513</v>
      </c>
    </row>
    <row r="362" ht="23.25" customHeight="1">
      <c r="B362" s="543" t="s">
        <v>514</v>
      </c>
    </row>
    <row r="363" ht="12.75">
      <c r="B363" s="470" t="s">
        <v>411</v>
      </c>
    </row>
    <row r="364" ht="12.75">
      <c r="B364" s="1"/>
    </row>
    <row r="365" ht="12.75">
      <c r="B365" s="469" t="s">
        <v>419</v>
      </c>
    </row>
    <row r="366" ht="12.75">
      <c r="B366" s="469" t="s">
        <v>420</v>
      </c>
    </row>
    <row r="367" ht="12.75">
      <c r="B367" s="1"/>
    </row>
    <row r="368" ht="12.75">
      <c r="B368" s="470" t="s">
        <v>412</v>
      </c>
    </row>
    <row r="369" ht="12.75">
      <c r="B369" s="1"/>
    </row>
    <row r="370" ht="12.75">
      <c r="B370" s="1"/>
    </row>
    <row r="374" ht="15">
      <c r="F374" s="542"/>
    </row>
    <row r="378" ht="13.5">
      <c r="B378" s="472"/>
    </row>
  </sheetData>
  <sheetProtection sheet="1"/>
  <mergeCells count="2">
    <mergeCell ref="B5:I5"/>
    <mergeCell ref="B6:I6"/>
  </mergeCells>
  <printOptions/>
  <pageMargins left="0.7086614173228347" right="0.7086614173228347" top="0.7874015748031497" bottom="0.7874015748031497" header="0.31496062992125984" footer="0.31496062992125984"/>
  <pageSetup fitToHeight="3" fitToWidth="1" orientation="portrait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2:W2030"/>
  <sheetViews>
    <sheetView showGridLines="0" showRowColHeaders="0" showZeros="0" zoomScalePageLayoutView="0" workbookViewId="0" topLeftCell="A3">
      <selection activeCell="C30" sqref="C30:L30"/>
    </sheetView>
  </sheetViews>
  <sheetFormatPr defaultColWidth="11.421875" defaultRowHeight="19.5" customHeight="1"/>
  <cols>
    <col min="1" max="1" width="2.57421875" style="8" customWidth="1"/>
    <col min="2" max="2" width="35.28125" style="8" customWidth="1"/>
    <col min="3" max="3" width="4.421875" style="8" customWidth="1"/>
    <col min="4" max="4" width="10.28125" style="8" customWidth="1"/>
    <col min="5" max="5" width="7.7109375" style="8" customWidth="1"/>
    <col min="6" max="6" width="8.7109375" style="8" customWidth="1"/>
    <col min="7" max="7" width="4.140625" style="8" customWidth="1"/>
    <col min="8" max="8" width="9.421875" style="8" customWidth="1"/>
    <col min="9" max="9" width="3.7109375" style="14" customWidth="1"/>
    <col min="10" max="10" width="9.7109375" style="8" customWidth="1"/>
    <col min="11" max="12" width="8.7109375" style="14" customWidth="1"/>
    <col min="13" max="13" width="4.8515625" style="8" customWidth="1"/>
    <col min="14" max="14" width="53.00390625" style="8" customWidth="1"/>
    <col min="15" max="16" width="11.421875" style="8" customWidth="1"/>
    <col min="17" max="17" width="20.00390625" style="8" bestFit="1" customWidth="1"/>
    <col min="18" max="18" width="15.140625" style="8" bestFit="1" customWidth="1"/>
    <col min="19" max="16384" width="11.421875" style="8" customWidth="1"/>
  </cols>
  <sheetData>
    <row r="1" ht="19.5" customHeight="1" hidden="1"/>
    <row r="2" spans="2:10" s="7" customFormat="1" ht="19.5" customHeight="1" hidden="1">
      <c r="B2" s="6" t="s">
        <v>6</v>
      </c>
      <c r="C2" s="6"/>
      <c r="J2" s="6"/>
    </row>
    <row r="3" spans="2:10" s="7" customFormat="1" ht="19.5" customHeight="1">
      <c r="B3" s="6"/>
      <c r="C3" s="6"/>
      <c r="J3" s="6"/>
    </row>
    <row r="4" spans="2:12" s="7" customFormat="1" ht="19.5" customHeight="1">
      <c r="B4" s="268" t="s">
        <v>26</v>
      </c>
      <c r="C4" s="18"/>
      <c r="D4" s="19"/>
      <c r="E4" s="19"/>
      <c r="F4" s="19"/>
      <c r="G4" s="19"/>
      <c r="H4" s="19"/>
      <c r="I4" s="19"/>
      <c r="J4" s="18"/>
      <c r="K4" s="19"/>
      <c r="L4" s="19"/>
    </row>
    <row r="5" spans="2:12" s="7" customFormat="1" ht="19.5" customHeight="1">
      <c r="B5" s="5"/>
      <c r="C5" s="41"/>
      <c r="D5" s="42"/>
      <c r="E5" s="42"/>
      <c r="F5" s="42"/>
      <c r="G5" s="42"/>
      <c r="H5" s="42"/>
      <c r="I5" s="42"/>
      <c r="J5" s="41"/>
      <c r="K5" s="42"/>
      <c r="L5" s="42"/>
    </row>
    <row r="6" spans="2:15" s="7" customFormat="1" ht="19.5" customHeight="1">
      <c r="B6" s="5" t="s">
        <v>266</v>
      </c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442">
        <v>1</v>
      </c>
      <c r="N6" s="27" t="s">
        <v>43</v>
      </c>
      <c r="O6" s="25">
        <f>IF(O33=TRUE,1,(C28-C24+1))</f>
        <v>2</v>
      </c>
    </row>
    <row r="7" spans="2:15" s="7" customFormat="1" ht="12" customHeight="1">
      <c r="B7" s="5"/>
      <c r="C7" s="562">
        <f>IF(D39=0,"Bitte konkretesieren Sie das Reiseziel!","")</f>
      </c>
      <c r="D7" s="562"/>
      <c r="E7" s="562"/>
      <c r="F7" s="562"/>
      <c r="G7" s="562"/>
      <c r="H7" s="562"/>
      <c r="I7" s="562"/>
      <c r="J7" s="562"/>
      <c r="K7" s="562"/>
      <c r="L7" s="515"/>
      <c r="M7" s="516">
        <f>VLOOKUP($M$6+1,Auslandsreisepauschalen!$A$7:$G$249,4)</f>
        <v>24</v>
      </c>
      <c r="N7" s="516">
        <f>VLOOKUP($M$6+1,Auslandsreisepauschalen!$A$7:$G$249,5)</f>
        <v>12</v>
      </c>
      <c r="O7" s="343"/>
    </row>
    <row r="8" spans="2:15" s="7" customFormat="1" ht="19.5" customHeight="1">
      <c r="B8" s="5" t="s">
        <v>267</v>
      </c>
      <c r="C8" s="563" t="s">
        <v>440</v>
      </c>
      <c r="D8" s="564"/>
      <c r="E8" s="564"/>
      <c r="F8" s="564"/>
      <c r="G8" s="564"/>
      <c r="H8" s="564"/>
      <c r="I8" s="564"/>
      <c r="J8" s="564"/>
      <c r="K8" s="564"/>
      <c r="L8" s="565"/>
      <c r="N8" s="27"/>
      <c r="O8" s="343"/>
    </row>
    <row r="9" spans="2:14" s="7" customFormat="1" ht="7.5" customHeight="1">
      <c r="B9" s="6"/>
      <c r="C9" s="41"/>
      <c r="D9" s="42"/>
      <c r="E9" s="42"/>
      <c r="F9" s="42"/>
      <c r="G9" s="42"/>
      <c r="H9" s="42"/>
      <c r="I9" s="42"/>
      <c r="J9" s="41"/>
      <c r="K9" s="42"/>
      <c r="L9" s="42"/>
      <c r="N9" s="28"/>
    </row>
    <row r="10" spans="2:15" s="7" customFormat="1" ht="30" customHeight="1">
      <c r="B10" s="5" t="s">
        <v>27</v>
      </c>
      <c r="C10" s="563" t="s">
        <v>441</v>
      </c>
      <c r="D10" s="564"/>
      <c r="E10" s="564"/>
      <c r="F10" s="564"/>
      <c r="G10" s="564"/>
      <c r="H10" s="564"/>
      <c r="I10" s="564"/>
      <c r="J10" s="564"/>
      <c r="K10" s="564"/>
      <c r="L10" s="565"/>
      <c r="N10" s="27" t="s">
        <v>44</v>
      </c>
      <c r="O10" s="57">
        <f>IF(O6&gt;1,0,IF(O33=TRUE,O12,+C30-C26))</f>
        <v>0</v>
      </c>
    </row>
    <row r="11" spans="2:14" s="7" customFormat="1" ht="7.5" customHeight="1">
      <c r="B11" s="6"/>
      <c r="C11" s="41"/>
      <c r="D11" s="42"/>
      <c r="E11" s="42"/>
      <c r="F11" s="42"/>
      <c r="G11" s="42"/>
      <c r="H11" s="42"/>
      <c r="I11" s="42"/>
      <c r="J11" s="41"/>
      <c r="K11" s="42"/>
      <c r="L11" s="42"/>
      <c r="N11" s="28"/>
    </row>
    <row r="12" spans="2:17" ht="19.5" customHeight="1">
      <c r="B12" s="5" t="s">
        <v>28</v>
      </c>
      <c r="C12" s="559" t="s">
        <v>504</v>
      </c>
      <c r="D12" s="560"/>
      <c r="E12" s="560"/>
      <c r="F12" s="560"/>
      <c r="G12" s="560"/>
      <c r="H12" s="560"/>
      <c r="I12" s="560"/>
      <c r="J12" s="560"/>
      <c r="K12" s="560"/>
      <c r="L12" s="561"/>
      <c r="M12" s="16"/>
      <c r="N12" s="58" t="s">
        <v>45</v>
      </c>
      <c r="O12" s="60">
        <f>IF(O33=TRUE,+N16-C26+C30,"")</f>
      </c>
      <c r="P12" s="59"/>
      <c r="Q12" s="59"/>
    </row>
    <row r="13" spans="2:13" ht="7.5" customHeight="1">
      <c r="B13" s="5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16"/>
    </row>
    <row r="14" spans="2:13" ht="19.5" customHeight="1">
      <c r="B14" s="5"/>
      <c r="C14" s="559"/>
      <c r="D14" s="560"/>
      <c r="E14" s="560"/>
      <c r="F14" s="560"/>
      <c r="G14" s="560"/>
      <c r="H14" s="560"/>
      <c r="I14" s="560"/>
      <c r="J14" s="560"/>
      <c r="K14" s="560"/>
      <c r="L14" s="561"/>
      <c r="M14" s="16"/>
    </row>
    <row r="15" spans="2:13" ht="7.5" customHeight="1">
      <c r="B15" s="5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16"/>
    </row>
    <row r="16" spans="2:15" ht="19.5" customHeight="1">
      <c r="B16" s="5"/>
      <c r="C16" s="559"/>
      <c r="D16" s="560"/>
      <c r="E16" s="560"/>
      <c r="F16" s="560"/>
      <c r="G16" s="560"/>
      <c r="H16" s="560"/>
      <c r="I16" s="560"/>
      <c r="J16" s="560"/>
      <c r="K16" s="560"/>
      <c r="L16" s="561"/>
      <c r="M16" s="16"/>
      <c r="N16" s="36">
        <v>1</v>
      </c>
      <c r="O16" s="21"/>
    </row>
    <row r="17" spans="2:13" ht="7.5" customHeight="1">
      <c r="B17" s="5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16"/>
    </row>
    <row r="18" spans="2:14" ht="19.5" customHeight="1">
      <c r="B18" s="5"/>
      <c r="C18" s="559"/>
      <c r="D18" s="560"/>
      <c r="E18" s="560"/>
      <c r="F18" s="560"/>
      <c r="G18" s="560"/>
      <c r="H18" s="560"/>
      <c r="I18" s="560"/>
      <c r="J18" s="560"/>
      <c r="K18" s="560"/>
      <c r="L18" s="561"/>
      <c r="M18" s="16"/>
      <c r="N18" s="20"/>
    </row>
    <row r="19" spans="2:22" ht="7.5" customHeight="1" hidden="1">
      <c r="B19" s="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16"/>
      <c r="R19" s="20"/>
      <c r="S19" s="20"/>
      <c r="T19" s="20"/>
      <c r="U19" s="20"/>
      <c r="V19" s="20"/>
    </row>
    <row r="20" spans="2:23" ht="19.5" customHeight="1" hidden="1">
      <c r="B20" s="5"/>
      <c r="C20" s="566"/>
      <c r="D20" s="567"/>
      <c r="E20" s="567"/>
      <c r="F20" s="567"/>
      <c r="G20" s="567"/>
      <c r="H20" s="567"/>
      <c r="I20" s="567"/>
      <c r="J20" s="567"/>
      <c r="K20" s="567"/>
      <c r="L20" s="568"/>
      <c r="M20" s="16"/>
      <c r="N20" s="35"/>
      <c r="R20" s="20"/>
      <c r="S20" s="20"/>
      <c r="T20" s="20"/>
      <c r="U20" s="20"/>
      <c r="V20" s="20"/>
      <c r="W20" s="20"/>
    </row>
    <row r="21" spans="2:23" ht="7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6"/>
      <c r="N21" s="35"/>
      <c r="R21" s="20"/>
      <c r="S21" s="20"/>
      <c r="T21" s="20"/>
      <c r="U21" s="20"/>
      <c r="V21" s="20"/>
      <c r="W21" s="20"/>
    </row>
    <row r="22" spans="2:23" ht="19.5" customHeight="1">
      <c r="B22" s="439" t="s">
        <v>351</v>
      </c>
      <c r="C22" s="312"/>
      <c r="D22" s="313"/>
      <c r="E22" s="313"/>
      <c r="F22" s="313"/>
      <c r="G22" s="313"/>
      <c r="H22" s="313"/>
      <c r="I22" s="313"/>
      <c r="J22" s="313"/>
      <c r="K22" s="313"/>
      <c r="L22" s="314"/>
      <c r="M22" s="16"/>
      <c r="N22" s="35"/>
      <c r="O22" s="59">
        <f>IF(N23=TRUE,1,2)</f>
        <v>2</v>
      </c>
      <c r="R22" s="20"/>
      <c r="S22" s="20"/>
      <c r="T22" s="20"/>
      <c r="U22" s="20"/>
      <c r="V22" s="20"/>
      <c r="W22" s="20"/>
    </row>
    <row r="23" spans="2:23" ht="24" customHeight="1">
      <c r="B23" s="361" t="s">
        <v>33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16"/>
      <c r="N23" s="441" t="b">
        <v>0</v>
      </c>
      <c r="R23" s="20"/>
      <c r="S23" s="20"/>
      <c r="T23" s="20"/>
      <c r="U23" s="20"/>
      <c r="V23" s="20"/>
      <c r="W23" s="20"/>
    </row>
    <row r="24" spans="2:23" ht="19.5" customHeight="1">
      <c r="B24" s="5" t="s">
        <v>29</v>
      </c>
      <c r="C24" s="569">
        <v>43162</v>
      </c>
      <c r="D24" s="567"/>
      <c r="E24" s="567"/>
      <c r="F24" s="567"/>
      <c r="G24" s="567"/>
      <c r="H24" s="567"/>
      <c r="I24" s="567"/>
      <c r="J24" s="567"/>
      <c r="K24" s="567"/>
      <c r="L24" s="568"/>
      <c r="M24" s="16"/>
      <c r="N24" s="20"/>
      <c r="O24" s="20"/>
      <c r="P24" s="20"/>
      <c r="Q24" s="20"/>
      <c r="R24" s="20"/>
      <c r="S24" s="22"/>
      <c r="T24" s="20"/>
      <c r="U24" s="20"/>
      <c r="V24" s="20"/>
      <c r="W24" s="20"/>
    </row>
    <row r="25" spans="2:23" ht="7.5" customHeight="1">
      <c r="B25" s="5"/>
      <c r="C25" s="45"/>
      <c r="D25" s="45"/>
      <c r="E25" s="45"/>
      <c r="F25" s="45"/>
      <c r="G25" s="46"/>
      <c r="H25" s="46"/>
      <c r="I25" s="46"/>
      <c r="J25" s="45"/>
      <c r="K25" s="45"/>
      <c r="L25" s="45"/>
      <c r="M25" s="16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2:23" ht="19.5" customHeight="1">
      <c r="B26" s="5" t="s">
        <v>30</v>
      </c>
      <c r="C26" s="573">
        <v>0.3333333333333333</v>
      </c>
      <c r="D26" s="567"/>
      <c r="E26" s="567"/>
      <c r="F26" s="567"/>
      <c r="G26" s="567"/>
      <c r="H26" s="567"/>
      <c r="I26" s="567"/>
      <c r="J26" s="567"/>
      <c r="K26" s="567"/>
      <c r="L26" s="568"/>
      <c r="M26" s="16"/>
      <c r="N26" s="20"/>
      <c r="O26" s="20"/>
      <c r="P26" s="20"/>
      <c r="Q26" s="20"/>
      <c r="R26" s="20"/>
      <c r="S26" s="20"/>
      <c r="T26" s="20"/>
      <c r="U26" s="23"/>
      <c r="V26" s="20"/>
      <c r="W26" s="20"/>
    </row>
    <row r="27" spans="2:23" ht="19.5" customHeight="1">
      <c r="B27" s="5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5"/>
      <c r="N27" s="271"/>
      <c r="O27" s="20"/>
      <c r="P27" s="20"/>
      <c r="Q27" s="20"/>
      <c r="R27" s="20"/>
      <c r="S27" s="20"/>
      <c r="T27" s="20"/>
      <c r="U27" s="20"/>
      <c r="V27" s="20"/>
      <c r="W27" s="20"/>
    </row>
    <row r="28" spans="2:23" ht="19.5" customHeight="1">
      <c r="B28" s="5" t="s">
        <v>31</v>
      </c>
      <c r="C28" s="569">
        <v>43163</v>
      </c>
      <c r="D28" s="567"/>
      <c r="E28" s="567"/>
      <c r="F28" s="567"/>
      <c r="G28" s="567"/>
      <c r="H28" s="567"/>
      <c r="I28" s="567"/>
      <c r="J28" s="567"/>
      <c r="K28" s="567"/>
      <c r="L28" s="568"/>
      <c r="M28" s="16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2:23" ht="7.5" customHeight="1">
      <c r="B29" s="5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5"/>
      <c r="N29" s="26"/>
      <c r="O29" s="20"/>
      <c r="P29" s="20"/>
      <c r="Q29" s="20"/>
      <c r="R29" s="20"/>
      <c r="S29" s="20"/>
      <c r="T29" s="20"/>
      <c r="U29" s="24"/>
      <c r="V29" s="20"/>
      <c r="W29" s="20"/>
    </row>
    <row r="30" spans="2:21" ht="19.5" customHeight="1">
      <c r="B30" s="5" t="s">
        <v>388</v>
      </c>
      <c r="C30" s="573">
        <v>0.6770833333333334</v>
      </c>
      <c r="D30" s="567"/>
      <c r="E30" s="567"/>
      <c r="F30" s="567"/>
      <c r="G30" s="567"/>
      <c r="H30" s="567"/>
      <c r="I30" s="567"/>
      <c r="J30" s="567"/>
      <c r="K30" s="567"/>
      <c r="L30" s="568"/>
      <c r="M30" s="16"/>
      <c r="N30" s="20"/>
      <c r="O30" s="20"/>
      <c r="P30" s="20"/>
      <c r="Q30" s="20"/>
      <c r="U30" s="21"/>
    </row>
    <row r="31" spans="3:21" ht="34.5" customHeight="1">
      <c r="C31" s="53"/>
      <c r="D31" s="47"/>
      <c r="E31" s="47"/>
      <c r="F31" s="47"/>
      <c r="G31" s="47"/>
      <c r="H31" s="47"/>
      <c r="I31" s="47"/>
      <c r="J31" s="47"/>
      <c r="K31" s="47"/>
      <c r="L31" s="47"/>
      <c r="M31" s="16"/>
      <c r="N31" s="20"/>
      <c r="O31" s="20"/>
      <c r="P31" s="20"/>
      <c r="Q31" s="20"/>
      <c r="U31" s="21"/>
    </row>
    <row r="32" spans="2:21" ht="19.5" customHeight="1">
      <c r="B32" s="5" t="s">
        <v>389</v>
      </c>
      <c r="C32" s="556"/>
      <c r="D32" s="557"/>
      <c r="E32" s="557"/>
      <c r="F32" s="557"/>
      <c r="G32" s="557"/>
      <c r="H32" s="557"/>
      <c r="I32" s="557"/>
      <c r="J32" s="557"/>
      <c r="K32" s="557"/>
      <c r="L32" s="558"/>
      <c r="M32" s="16"/>
      <c r="N32" s="20"/>
      <c r="O32" s="20"/>
      <c r="P32" s="20"/>
      <c r="Q32" s="20"/>
      <c r="U32" s="21"/>
    </row>
    <row r="33" spans="3:17" ht="19.5" customHeight="1">
      <c r="C33" s="474"/>
      <c r="D33" s="43"/>
      <c r="E33" s="43"/>
      <c r="F33" s="43"/>
      <c r="G33" s="43"/>
      <c r="H33" s="43"/>
      <c r="I33" s="43"/>
      <c r="J33" s="43"/>
      <c r="K33" s="43"/>
      <c r="L33" s="43"/>
      <c r="M33" s="5"/>
      <c r="N33" s="271"/>
      <c r="O33" s="273" t="b">
        <v>0</v>
      </c>
      <c r="P33" s="20"/>
      <c r="Q33" s="272"/>
    </row>
    <row r="34" spans="2:17" ht="34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6">
        <f>IF(AND(O33=TRUE,C28-C24+1&gt;2),"Bitte prüfen Sie Ihre Eingaben! Sie haben Daten für eine mehrtägige Reise angegeben, aber das Kontrollkästchen für eine eintägige Reise abgehakt.","")</f>
      </c>
      <c r="O34" s="271"/>
      <c r="P34" s="20"/>
      <c r="Q34" s="20"/>
    </row>
    <row r="35" spans="2:15" ht="19.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3:21" ht="19.5" customHeight="1">
      <c r="M36" s="14"/>
      <c r="N36" s="14"/>
      <c r="O36" s="14"/>
      <c r="P36" s="14"/>
      <c r="Q36" s="14"/>
      <c r="R36" s="10"/>
      <c r="S36" s="14"/>
      <c r="U36" s="22"/>
    </row>
    <row r="37" spans="3:19" ht="19.5" customHeight="1">
      <c r="C37" s="20"/>
      <c r="M37" s="14"/>
      <c r="N37" s="14"/>
      <c r="O37" s="14"/>
      <c r="P37" s="14"/>
      <c r="Q37" s="14"/>
      <c r="R37" s="14"/>
      <c r="S37" s="14"/>
    </row>
    <row r="38" spans="2:19" ht="199.5" customHeight="1">
      <c r="B38" s="59"/>
      <c r="C38" s="59"/>
      <c r="D38" s="59"/>
      <c r="E38" s="59"/>
      <c r="M38" s="14"/>
      <c r="N38" s="14"/>
      <c r="O38" s="14"/>
      <c r="P38" s="14"/>
      <c r="Q38" s="14"/>
      <c r="R38" s="14"/>
      <c r="S38" s="14"/>
    </row>
    <row r="39" spans="2:19" ht="19.5" customHeight="1">
      <c r="B39" s="20">
        <f>VLOOKUP(Reisedaten!$M$6+1,Auslandsreisepauschalen!$A$6:$G$259,4)</f>
        <v>24</v>
      </c>
      <c r="C39" s="20"/>
      <c r="D39" s="20">
        <f>B39</f>
        <v>24</v>
      </c>
      <c r="E39" s="20"/>
      <c r="F39" s="20"/>
      <c r="G39" s="20"/>
      <c r="H39" s="20"/>
      <c r="I39" s="350"/>
      <c r="J39" s="20"/>
      <c r="K39" s="350"/>
      <c r="L39" s="350"/>
      <c r="M39" s="350"/>
      <c r="N39" s="350"/>
      <c r="O39" s="14"/>
      <c r="P39" s="14"/>
      <c r="Q39" s="30"/>
      <c r="R39" s="30"/>
      <c r="S39" s="14"/>
    </row>
    <row r="40" spans="2:19" ht="19.5" customHeight="1">
      <c r="B40" s="59">
        <f>VLOOKUP(Reisedaten!$M$6+1,Auslandsreisepauschalen!$A$6:$G$249,5)</f>
        <v>12</v>
      </c>
      <c r="C40" s="59"/>
      <c r="D40" s="59">
        <f>B40</f>
        <v>12</v>
      </c>
      <c r="E40" s="59"/>
      <c r="M40" s="14"/>
      <c r="N40" s="14"/>
      <c r="O40" s="14"/>
      <c r="P40" s="14"/>
      <c r="Q40" s="30"/>
      <c r="R40" s="30"/>
      <c r="S40" s="14"/>
    </row>
    <row r="41" spans="2:19" ht="19.5" customHeight="1">
      <c r="B41" s="59">
        <f>VLOOKUP(Reisedaten!$M$6+1,Auslandsreisepauschalen!$A$8:$G$249,7)</f>
        <v>20</v>
      </c>
      <c r="C41" s="59"/>
      <c r="D41" s="59">
        <f>B41</f>
        <v>20</v>
      </c>
      <c r="E41" s="59"/>
      <c r="M41" s="14"/>
      <c r="N41" s="14"/>
      <c r="O41" s="14"/>
      <c r="P41" s="14"/>
      <c r="Q41" s="30"/>
      <c r="R41" s="30"/>
      <c r="S41" s="14"/>
    </row>
    <row r="42" spans="2:19" ht="19.5" customHeight="1">
      <c r="B42" s="32" t="str">
        <f>VLOOKUP(Reisedaten!$M$6+1,Auslandsreisepauschalen!$A$6:$G$259,2)</f>
        <v>Deutschland</v>
      </c>
      <c r="C42" s="59"/>
      <c r="D42" s="59"/>
      <c r="E42" s="59"/>
      <c r="M42" s="14"/>
      <c r="N42" s="14"/>
      <c r="O42" s="14"/>
      <c r="P42" s="14"/>
      <c r="Q42" s="30"/>
      <c r="R42" s="30"/>
      <c r="S42" s="14"/>
    </row>
    <row r="43" spans="2:19" ht="19.5" customHeight="1">
      <c r="B43" s="59"/>
      <c r="C43" s="59"/>
      <c r="D43" s="59"/>
      <c r="E43" s="59"/>
      <c r="M43" s="14"/>
      <c r="N43" s="14"/>
      <c r="O43" s="14"/>
      <c r="P43" s="14"/>
      <c r="Q43" s="14"/>
      <c r="R43" s="14"/>
      <c r="S43" s="14"/>
    </row>
    <row r="44" spans="2:15" ht="19.5" customHeight="1">
      <c r="B44" s="59"/>
      <c r="C44" s="59"/>
      <c r="D44" s="59"/>
      <c r="E44" s="59"/>
      <c r="M44" s="5"/>
      <c r="N44" s="5"/>
      <c r="O44" s="5"/>
    </row>
    <row r="45" spans="2:15" ht="19.5" customHeight="1">
      <c r="B45" s="59"/>
      <c r="C45" s="59"/>
      <c r="D45" s="59"/>
      <c r="E45" s="59"/>
      <c r="M45" s="5"/>
      <c r="N45" s="5"/>
      <c r="O45" s="5"/>
    </row>
    <row r="46" ht="19.5" customHeight="1">
      <c r="M46" s="20"/>
    </row>
    <row r="47" spans="2:18" s="14" customFormat="1" ht="19.5" customHeight="1">
      <c r="B47" s="8"/>
      <c r="C47" s="8"/>
      <c r="D47" s="8"/>
      <c r="E47" s="8"/>
      <c r="F47" s="8"/>
      <c r="G47" s="8"/>
      <c r="H47" s="15"/>
      <c r="J47" s="15"/>
      <c r="M47" s="8"/>
      <c r="N47" s="8"/>
      <c r="O47" s="8"/>
      <c r="P47" s="8"/>
      <c r="Q47" s="8"/>
      <c r="R47" s="8"/>
    </row>
    <row r="48" spans="2:18" s="14" customFormat="1" ht="19.5" customHeight="1">
      <c r="B48" s="8"/>
      <c r="C48" s="8"/>
      <c r="D48" s="8"/>
      <c r="E48" s="8"/>
      <c r="F48" s="8"/>
      <c r="G48" s="8"/>
      <c r="H48" s="15"/>
      <c r="J48" s="15"/>
      <c r="M48" s="8"/>
      <c r="N48" s="8"/>
      <c r="O48" s="8"/>
      <c r="P48" s="8"/>
      <c r="Q48" s="8"/>
      <c r="R48" s="8"/>
    </row>
    <row r="49" spans="2:18" s="14" customFormat="1" ht="19.5" customHeight="1">
      <c r="B49" s="8"/>
      <c r="C49" s="8"/>
      <c r="D49" s="8"/>
      <c r="E49" s="8"/>
      <c r="F49" s="8"/>
      <c r="G49" s="8"/>
      <c r="H49" s="15"/>
      <c r="J49" s="15"/>
      <c r="M49" s="8"/>
      <c r="N49" s="8"/>
      <c r="O49" s="8"/>
      <c r="P49" s="8"/>
      <c r="Q49" s="8"/>
      <c r="R49" s="8"/>
    </row>
    <row r="50" spans="2:18" s="14" customFormat="1" ht="19.5" customHeight="1">
      <c r="B50" s="8"/>
      <c r="C50" s="8"/>
      <c r="D50" s="8"/>
      <c r="E50" s="8"/>
      <c r="F50" s="8"/>
      <c r="G50" s="8"/>
      <c r="H50" s="15"/>
      <c r="J50" s="15"/>
      <c r="M50" s="8"/>
      <c r="N50" s="8"/>
      <c r="O50" s="8"/>
      <c r="P50" s="8"/>
      <c r="Q50" s="8"/>
      <c r="R50" s="8"/>
    </row>
    <row r="51" spans="2:18" s="14" customFormat="1" ht="19.5" customHeight="1">
      <c r="B51" s="8"/>
      <c r="C51" s="8"/>
      <c r="D51" s="8"/>
      <c r="E51" s="8"/>
      <c r="F51" s="8"/>
      <c r="G51" s="8"/>
      <c r="H51" s="15"/>
      <c r="J51" s="15"/>
      <c r="M51" s="8"/>
      <c r="N51" s="8"/>
      <c r="O51" s="8"/>
      <c r="P51" s="8"/>
      <c r="Q51" s="8"/>
      <c r="R51" s="8"/>
    </row>
    <row r="52" spans="2:18" s="14" customFormat="1" ht="19.5" customHeight="1">
      <c r="B52" s="8"/>
      <c r="C52" s="8"/>
      <c r="D52" s="8"/>
      <c r="E52" s="8"/>
      <c r="F52" s="8"/>
      <c r="G52" s="8"/>
      <c r="H52" s="15"/>
      <c r="J52" s="15"/>
      <c r="M52" s="8"/>
      <c r="N52" s="8"/>
      <c r="O52" s="8"/>
      <c r="P52" s="8"/>
      <c r="Q52" s="8"/>
      <c r="R52" s="8"/>
    </row>
    <row r="53" spans="2:18" s="14" customFormat="1" ht="19.5" customHeight="1">
      <c r="B53" s="8"/>
      <c r="C53" s="8"/>
      <c r="D53" s="8"/>
      <c r="E53" s="8"/>
      <c r="F53" s="8"/>
      <c r="G53" s="8"/>
      <c r="H53" s="15"/>
      <c r="J53" s="15"/>
      <c r="M53" s="8"/>
      <c r="N53" s="8"/>
      <c r="O53" s="8"/>
      <c r="P53" s="8"/>
      <c r="Q53" s="8"/>
      <c r="R53" s="8"/>
    </row>
    <row r="54" spans="2:18" s="14" customFormat="1" ht="19.5" customHeight="1">
      <c r="B54" s="8"/>
      <c r="C54" s="8"/>
      <c r="D54" s="8"/>
      <c r="E54" s="8"/>
      <c r="F54" s="8"/>
      <c r="G54" s="8"/>
      <c r="H54" s="15"/>
      <c r="J54" s="15"/>
      <c r="M54" s="8"/>
      <c r="N54" s="8"/>
      <c r="O54" s="8"/>
      <c r="P54" s="8"/>
      <c r="Q54" s="8"/>
      <c r="R54" s="8"/>
    </row>
    <row r="55" spans="2:18" s="14" customFormat="1" ht="19.5" customHeight="1">
      <c r="B55" s="8"/>
      <c r="C55" s="8"/>
      <c r="D55" s="8"/>
      <c r="E55" s="8"/>
      <c r="F55" s="8"/>
      <c r="G55" s="8"/>
      <c r="H55" s="15"/>
      <c r="J55" s="15"/>
      <c r="M55" s="8"/>
      <c r="N55" s="8"/>
      <c r="O55" s="8"/>
      <c r="P55" s="8"/>
      <c r="Q55" s="8"/>
      <c r="R55" s="8"/>
    </row>
    <row r="56" spans="2:18" s="14" customFormat="1" ht="19.5" customHeight="1">
      <c r="B56" s="8"/>
      <c r="C56" s="8"/>
      <c r="D56" s="8"/>
      <c r="E56" s="8"/>
      <c r="F56" s="8"/>
      <c r="G56" s="8"/>
      <c r="H56" s="15"/>
      <c r="J56" s="15"/>
      <c r="M56" s="8"/>
      <c r="N56" s="8"/>
      <c r="O56" s="8"/>
      <c r="P56" s="8"/>
      <c r="Q56" s="8"/>
      <c r="R56" s="8"/>
    </row>
    <row r="57" spans="2:18" s="14" customFormat="1" ht="19.5" customHeight="1">
      <c r="B57" s="8"/>
      <c r="C57" s="8"/>
      <c r="D57" s="8"/>
      <c r="E57" s="8"/>
      <c r="F57" s="8"/>
      <c r="G57" s="8"/>
      <c r="H57" s="15"/>
      <c r="J57" s="15"/>
      <c r="M57" s="8"/>
      <c r="N57" s="8"/>
      <c r="O57" s="8"/>
      <c r="P57" s="8"/>
      <c r="Q57" s="8"/>
      <c r="R57" s="8"/>
    </row>
    <row r="58" spans="2:18" s="14" customFormat="1" ht="19.5" customHeight="1">
      <c r="B58" s="8"/>
      <c r="C58" s="8"/>
      <c r="D58" s="8"/>
      <c r="E58" s="8"/>
      <c r="F58" s="8"/>
      <c r="G58" s="8"/>
      <c r="H58" s="15"/>
      <c r="J58" s="15"/>
      <c r="M58" s="8"/>
      <c r="N58" s="8"/>
      <c r="O58" s="8"/>
      <c r="P58" s="8"/>
      <c r="Q58" s="8"/>
      <c r="R58" s="8"/>
    </row>
    <row r="59" spans="2:18" s="14" customFormat="1" ht="19.5" customHeight="1">
      <c r="B59" s="8"/>
      <c r="C59" s="8"/>
      <c r="D59" s="8"/>
      <c r="E59" s="8"/>
      <c r="F59" s="8"/>
      <c r="G59" s="8"/>
      <c r="H59" s="15"/>
      <c r="J59" s="15"/>
      <c r="M59" s="8"/>
      <c r="N59" s="8"/>
      <c r="O59" s="8"/>
      <c r="P59" s="8"/>
      <c r="Q59" s="8"/>
      <c r="R59" s="8"/>
    </row>
    <row r="60" spans="2:18" s="14" customFormat="1" ht="19.5" customHeight="1">
      <c r="B60" s="8"/>
      <c r="C60" s="8"/>
      <c r="D60" s="8"/>
      <c r="E60" s="8"/>
      <c r="F60" s="8"/>
      <c r="G60" s="8"/>
      <c r="H60" s="15"/>
      <c r="J60" s="15"/>
      <c r="M60" s="8"/>
      <c r="N60" s="8"/>
      <c r="O60" s="8"/>
      <c r="P60" s="8"/>
      <c r="Q60" s="8"/>
      <c r="R60" s="8"/>
    </row>
    <row r="61" spans="2:18" s="14" customFormat="1" ht="19.5" customHeight="1">
      <c r="B61" s="8"/>
      <c r="C61" s="8"/>
      <c r="D61" s="8"/>
      <c r="E61" s="8"/>
      <c r="F61" s="8"/>
      <c r="G61" s="8"/>
      <c r="H61" s="15"/>
      <c r="J61" s="15"/>
      <c r="M61" s="8"/>
      <c r="N61" s="8"/>
      <c r="O61" s="8"/>
      <c r="P61" s="8"/>
      <c r="Q61" s="8"/>
      <c r="R61" s="8"/>
    </row>
    <row r="62" spans="2:18" s="14" customFormat="1" ht="19.5" customHeight="1">
      <c r="B62" s="8"/>
      <c r="C62" s="8"/>
      <c r="D62" s="8"/>
      <c r="E62" s="8"/>
      <c r="F62" s="8"/>
      <c r="G62" s="8"/>
      <c r="H62" s="15"/>
      <c r="J62" s="15"/>
      <c r="M62" s="8"/>
      <c r="N62" s="8"/>
      <c r="O62" s="8"/>
      <c r="P62" s="8"/>
      <c r="Q62" s="8"/>
      <c r="R62" s="8"/>
    </row>
    <row r="63" spans="2:18" s="14" customFormat="1" ht="19.5" customHeight="1">
      <c r="B63" s="8"/>
      <c r="C63" s="8"/>
      <c r="D63" s="8"/>
      <c r="E63" s="8"/>
      <c r="F63" s="8"/>
      <c r="G63" s="8"/>
      <c r="H63" s="15"/>
      <c r="J63" s="15"/>
      <c r="M63" s="8"/>
      <c r="N63" s="8"/>
      <c r="O63" s="8"/>
      <c r="P63" s="8"/>
      <c r="Q63" s="8"/>
      <c r="R63" s="8"/>
    </row>
    <row r="64" spans="2:18" s="14" customFormat="1" ht="19.5" customHeight="1">
      <c r="B64" s="8"/>
      <c r="C64" s="8"/>
      <c r="D64" s="8"/>
      <c r="E64" s="8"/>
      <c r="F64" s="8"/>
      <c r="G64" s="8"/>
      <c r="H64" s="15"/>
      <c r="J64" s="15"/>
      <c r="M64" s="8"/>
      <c r="N64" s="8"/>
      <c r="O64" s="8"/>
      <c r="P64" s="8"/>
      <c r="Q64" s="8"/>
      <c r="R64" s="8"/>
    </row>
    <row r="65" spans="2:18" s="14" customFormat="1" ht="19.5" customHeight="1">
      <c r="B65" s="8"/>
      <c r="C65" s="8"/>
      <c r="D65" s="8"/>
      <c r="E65" s="8"/>
      <c r="F65" s="8"/>
      <c r="G65" s="8"/>
      <c r="H65" s="15"/>
      <c r="J65" s="15"/>
      <c r="M65" s="8"/>
      <c r="N65" s="8"/>
      <c r="O65" s="8"/>
      <c r="P65" s="8"/>
      <c r="Q65" s="8"/>
      <c r="R65" s="8"/>
    </row>
    <row r="66" spans="2:18" s="14" customFormat="1" ht="19.5" customHeight="1">
      <c r="B66" s="8"/>
      <c r="C66" s="8"/>
      <c r="D66" s="8"/>
      <c r="E66" s="8"/>
      <c r="F66" s="8"/>
      <c r="G66" s="8"/>
      <c r="H66" s="15"/>
      <c r="J66" s="15"/>
      <c r="M66" s="8"/>
      <c r="N66" s="8"/>
      <c r="O66" s="8"/>
      <c r="P66" s="8"/>
      <c r="Q66" s="8"/>
      <c r="R66" s="8"/>
    </row>
    <row r="67" spans="2:18" s="14" customFormat="1" ht="19.5" customHeight="1">
      <c r="B67" s="8"/>
      <c r="C67" s="8"/>
      <c r="D67" s="8"/>
      <c r="E67" s="8"/>
      <c r="F67" s="8"/>
      <c r="G67" s="8"/>
      <c r="H67" s="15"/>
      <c r="J67" s="15"/>
      <c r="M67" s="8"/>
      <c r="N67" s="8"/>
      <c r="O67" s="8"/>
      <c r="P67" s="8"/>
      <c r="Q67" s="8"/>
      <c r="R67" s="8"/>
    </row>
    <row r="68" spans="2:18" s="14" customFormat="1" ht="19.5" customHeight="1">
      <c r="B68" s="8"/>
      <c r="C68" s="8"/>
      <c r="D68" s="8"/>
      <c r="E68" s="8"/>
      <c r="F68" s="8"/>
      <c r="G68" s="8"/>
      <c r="H68" s="15"/>
      <c r="J68" s="15"/>
      <c r="M68" s="8"/>
      <c r="N68" s="8"/>
      <c r="O68" s="8"/>
      <c r="P68" s="8"/>
      <c r="Q68" s="8"/>
      <c r="R68" s="8"/>
    </row>
    <row r="69" spans="2:18" s="14" customFormat="1" ht="19.5" customHeight="1">
      <c r="B69" s="8"/>
      <c r="C69" s="8"/>
      <c r="D69" s="8"/>
      <c r="E69" s="8"/>
      <c r="F69" s="8"/>
      <c r="G69" s="8"/>
      <c r="H69" s="15"/>
      <c r="J69" s="15"/>
      <c r="M69" s="8"/>
      <c r="N69" s="8"/>
      <c r="O69" s="8"/>
      <c r="P69" s="8"/>
      <c r="Q69" s="8"/>
      <c r="R69" s="8"/>
    </row>
    <row r="70" spans="2:18" s="14" customFormat="1" ht="19.5" customHeight="1">
      <c r="B70" s="8"/>
      <c r="C70" s="8"/>
      <c r="D70" s="8"/>
      <c r="E70" s="8"/>
      <c r="F70" s="8"/>
      <c r="G70" s="8"/>
      <c r="H70" s="15"/>
      <c r="J70" s="15"/>
      <c r="M70" s="8"/>
      <c r="N70" s="8"/>
      <c r="O70" s="8"/>
      <c r="P70" s="8"/>
      <c r="Q70" s="8"/>
      <c r="R70" s="8"/>
    </row>
    <row r="71" spans="2:18" s="14" customFormat="1" ht="19.5" customHeight="1">
      <c r="B71" s="8"/>
      <c r="C71" s="8"/>
      <c r="D71" s="8"/>
      <c r="E71" s="8"/>
      <c r="F71" s="8"/>
      <c r="G71" s="8"/>
      <c r="H71" s="15"/>
      <c r="J71" s="15"/>
      <c r="M71" s="8"/>
      <c r="N71" s="8"/>
      <c r="O71" s="8"/>
      <c r="P71" s="8"/>
      <c r="Q71" s="8"/>
      <c r="R71" s="8"/>
    </row>
    <row r="72" spans="2:18" s="14" customFormat="1" ht="19.5" customHeight="1">
      <c r="B72" s="8"/>
      <c r="C72" s="8"/>
      <c r="D72" s="8"/>
      <c r="E72" s="8"/>
      <c r="F72" s="8"/>
      <c r="G72" s="8"/>
      <c r="H72" s="15"/>
      <c r="J72" s="15"/>
      <c r="M72" s="8"/>
      <c r="N72" s="8"/>
      <c r="O72" s="8"/>
      <c r="P72" s="8"/>
      <c r="Q72" s="8"/>
      <c r="R72" s="8"/>
    </row>
    <row r="73" spans="2:18" s="14" customFormat="1" ht="19.5" customHeight="1">
      <c r="B73" s="8"/>
      <c r="C73" s="8"/>
      <c r="D73" s="8"/>
      <c r="E73" s="8"/>
      <c r="F73" s="8"/>
      <c r="G73" s="8"/>
      <c r="H73" s="15"/>
      <c r="J73" s="15"/>
      <c r="M73" s="8"/>
      <c r="N73" s="8"/>
      <c r="O73" s="8"/>
      <c r="P73" s="8"/>
      <c r="Q73" s="8"/>
      <c r="R73" s="8"/>
    </row>
    <row r="74" spans="2:18" s="14" customFormat="1" ht="19.5" customHeight="1">
      <c r="B74" s="8"/>
      <c r="C74" s="8"/>
      <c r="D74" s="8"/>
      <c r="E74" s="8"/>
      <c r="F74" s="8"/>
      <c r="G74" s="8"/>
      <c r="H74" s="15"/>
      <c r="J74" s="15"/>
      <c r="M74" s="8"/>
      <c r="N74" s="8"/>
      <c r="O74" s="8"/>
      <c r="P74" s="8"/>
      <c r="Q74" s="8"/>
      <c r="R74" s="8"/>
    </row>
    <row r="75" spans="2:18" s="14" customFormat="1" ht="19.5" customHeight="1">
      <c r="B75" s="8"/>
      <c r="C75" s="8"/>
      <c r="D75" s="8"/>
      <c r="E75" s="8"/>
      <c r="F75" s="8"/>
      <c r="G75" s="8"/>
      <c r="H75" s="15"/>
      <c r="J75" s="15"/>
      <c r="M75" s="8"/>
      <c r="N75" s="8"/>
      <c r="O75" s="8"/>
      <c r="P75" s="8"/>
      <c r="Q75" s="8"/>
      <c r="R75" s="8"/>
    </row>
    <row r="76" spans="2:18" s="14" customFormat="1" ht="19.5" customHeight="1">
      <c r="B76" s="8"/>
      <c r="C76" s="8"/>
      <c r="D76" s="8"/>
      <c r="E76" s="8"/>
      <c r="F76" s="8"/>
      <c r="G76" s="8"/>
      <c r="H76" s="15"/>
      <c r="J76" s="15"/>
      <c r="M76" s="8"/>
      <c r="N76" s="8"/>
      <c r="O76" s="8"/>
      <c r="P76" s="8"/>
      <c r="Q76" s="8"/>
      <c r="R76" s="8"/>
    </row>
    <row r="77" spans="2:18" s="14" customFormat="1" ht="19.5" customHeight="1">
      <c r="B77" s="8"/>
      <c r="C77" s="8"/>
      <c r="D77" s="8"/>
      <c r="E77" s="8"/>
      <c r="F77" s="8"/>
      <c r="G77" s="8"/>
      <c r="H77" s="15"/>
      <c r="J77" s="15"/>
      <c r="M77" s="8"/>
      <c r="N77" s="8"/>
      <c r="O77" s="8"/>
      <c r="P77" s="8"/>
      <c r="Q77" s="8"/>
      <c r="R77" s="8"/>
    </row>
    <row r="999" ht="19.5" customHeight="1">
      <c r="D999" s="20" t="s">
        <v>283</v>
      </c>
    </row>
    <row r="1000" ht="19.5" customHeight="1">
      <c r="B1000" s="8" t="s">
        <v>281</v>
      </c>
    </row>
    <row r="1002" spans="2:12" ht="19.5" customHeight="1">
      <c r="B1002" s="5" t="s">
        <v>29</v>
      </c>
      <c r="C1002" s="570">
        <v>41671</v>
      </c>
      <c r="D1002" s="571"/>
      <c r="E1002" s="571"/>
      <c r="F1002" s="571"/>
      <c r="G1002" s="571"/>
      <c r="H1002" s="571"/>
      <c r="I1002" s="571"/>
      <c r="J1002" s="571"/>
      <c r="K1002" s="571"/>
      <c r="L1002" s="572"/>
    </row>
    <row r="1003" spans="2:12" ht="19.5" customHeight="1">
      <c r="B1003" s="5"/>
      <c r="C1003" s="45"/>
      <c r="D1003" s="45"/>
      <c r="E1003" s="45"/>
      <c r="F1003" s="45"/>
      <c r="G1003" s="46"/>
      <c r="H1003" s="46"/>
      <c r="I1003" s="46"/>
      <c r="J1003" s="45"/>
      <c r="K1003" s="45"/>
      <c r="L1003" s="45"/>
    </row>
    <row r="1004" spans="2:12" ht="19.5" customHeight="1" hidden="1">
      <c r="B1004" s="5" t="s">
        <v>30</v>
      </c>
      <c r="C1004" s="573">
        <v>0.375</v>
      </c>
      <c r="D1004" s="567"/>
      <c r="E1004" s="567"/>
      <c r="F1004" s="567"/>
      <c r="G1004" s="567"/>
      <c r="H1004" s="567"/>
      <c r="I1004" s="567"/>
      <c r="J1004" s="567"/>
      <c r="K1004" s="567"/>
      <c r="L1004" s="568"/>
    </row>
    <row r="1005" spans="2:12" ht="19.5" customHeight="1" hidden="1">
      <c r="B1005" s="5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</row>
    <row r="1006" spans="2:12" ht="19.5" customHeight="1">
      <c r="B1006" s="5" t="s">
        <v>31</v>
      </c>
      <c r="C1006" s="570">
        <v>41680</v>
      </c>
      <c r="D1006" s="571"/>
      <c r="E1006" s="571"/>
      <c r="F1006" s="571"/>
      <c r="G1006" s="571"/>
      <c r="H1006" s="571"/>
      <c r="I1006" s="571"/>
      <c r="J1006" s="571"/>
      <c r="K1006" s="571"/>
      <c r="L1006" s="572"/>
    </row>
    <row r="1007" spans="2:12" ht="19.5" customHeight="1" hidden="1">
      <c r="B1007" s="5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</row>
    <row r="1008" spans="2:12" ht="19.5" customHeight="1" hidden="1">
      <c r="B1008" s="5" t="s">
        <v>32</v>
      </c>
      <c r="C1008" s="573">
        <v>0.5416666666666666</v>
      </c>
      <c r="D1008" s="567"/>
      <c r="E1008" s="567"/>
      <c r="F1008" s="567"/>
      <c r="G1008" s="567"/>
      <c r="H1008" s="567"/>
      <c r="I1008" s="567"/>
      <c r="J1008" s="567"/>
      <c r="K1008" s="567"/>
      <c r="L1008" s="568"/>
    </row>
    <row r="1010" spans="2:13" ht="19.5" customHeight="1">
      <c r="B1010" s="5" t="s">
        <v>282</v>
      </c>
      <c r="C1010" s="345">
        <f>O6</f>
        <v>2</v>
      </c>
      <c r="D1010" s="346"/>
      <c r="E1010" s="346"/>
      <c r="F1010" s="346"/>
      <c r="G1010" s="346"/>
      <c r="H1010" s="346"/>
      <c r="I1010" s="347"/>
      <c r="J1010" s="346"/>
      <c r="K1010" s="347"/>
      <c r="L1010" s="348"/>
      <c r="M1010" s="59"/>
    </row>
    <row r="1011" spans="2:13" ht="19.5" customHeight="1">
      <c r="B1011" s="5"/>
      <c r="C1011" s="344"/>
      <c r="D1011" s="9"/>
      <c r="E1011" s="9" t="s">
        <v>285</v>
      </c>
      <c r="F1011" s="9"/>
      <c r="G1011" s="9"/>
      <c r="H1011" s="9"/>
      <c r="I1011" s="30"/>
      <c r="J1011" s="9"/>
      <c r="K1011" s="30"/>
      <c r="L1011" s="30"/>
      <c r="M1011" s="59"/>
    </row>
    <row r="1012" spans="2:16" ht="51.75" customHeight="1">
      <c r="B1012" s="8" t="s">
        <v>292</v>
      </c>
      <c r="E1012" s="8" t="s">
        <v>286</v>
      </c>
      <c r="G1012" s="8" t="s">
        <v>287</v>
      </c>
      <c r="I1012" s="10" t="s">
        <v>288</v>
      </c>
      <c r="M1012" s="59"/>
      <c r="N1012" s="8" t="s">
        <v>284</v>
      </c>
      <c r="P1012" s="8" t="s">
        <v>289</v>
      </c>
    </row>
    <row r="1013" spans="2:21" ht="19.5" customHeight="1">
      <c r="B1013" s="8" t="s">
        <v>282</v>
      </c>
      <c r="C1013" s="351">
        <v>3</v>
      </c>
      <c r="D1013" s="349" t="s">
        <v>290</v>
      </c>
      <c r="E1013" s="351">
        <v>3</v>
      </c>
      <c r="F1013" s="349"/>
      <c r="G1013" s="351">
        <v>0</v>
      </c>
      <c r="H1013" s="349"/>
      <c r="I1013" s="351">
        <v>3</v>
      </c>
      <c r="M1013" s="59">
        <v>2</v>
      </c>
      <c r="N1013" s="294">
        <f>(C1013-1)*T1013+U1013*1</f>
        <v>60</v>
      </c>
      <c r="P1013" s="8">
        <f>IF(0.2*E1013*T1013+G1013*0.4*T1013+0.4+I1013*0.4*T1013&gt;N1013,0,0.2*E1013*T1013+G1013*0.4*T1013+0.4+I1013*0.4*T1013)</f>
        <v>43.60000000000001</v>
      </c>
      <c r="R1013" s="20" t="str">
        <f>VLOOKUP(Reisedaten!$M1013,Auslandsreisepauschalen!$A$6:$G$252,2)</f>
        <v>Deutschland</v>
      </c>
      <c r="T1013" s="20">
        <f>VLOOKUP(Reisedaten!$M1013,Auslandsreisepauschalen!$A$8:$G$249,4)</f>
        <v>24</v>
      </c>
      <c r="U1013" s="20">
        <f>VLOOKUP(Reisedaten!$M1013,Auslandsreisepauschalen!$A$8:$G$249,5)</f>
        <v>12</v>
      </c>
    </row>
    <row r="1014" spans="3:21" ht="19.5" customHeight="1">
      <c r="C1014" s="349"/>
      <c r="D1014" s="349"/>
      <c r="E1014" s="352"/>
      <c r="F1014" s="349"/>
      <c r="G1014" s="349"/>
      <c r="H1014" s="349"/>
      <c r="I1014" s="353"/>
      <c r="K1014" s="350"/>
      <c r="M1014" s="59"/>
      <c r="P1014" s="8">
        <f aca="true" t="shared" si="0" ref="P1014:P1021">IF(0.2*E1014*T1014+G1014*0.4*T1014+0.4+I1014*0.4*T1014&gt;N1014,0,0.2*E1014*T1014+G1014*0.4*T1014+0.4+I1014*0.4*T1014)</f>
        <v>0</v>
      </c>
      <c r="R1014" s="20"/>
      <c r="T1014" s="20"/>
      <c r="U1014" s="20"/>
    </row>
    <row r="1015" spans="2:21" ht="19.5" customHeight="1">
      <c r="B1015" s="8" t="s">
        <v>282</v>
      </c>
      <c r="C1015" s="351">
        <v>3</v>
      </c>
      <c r="D1015" s="349"/>
      <c r="E1015" s="351">
        <v>2</v>
      </c>
      <c r="F1015" s="349"/>
      <c r="G1015" s="351">
        <v>3</v>
      </c>
      <c r="H1015" s="349"/>
      <c r="I1015" s="351">
        <v>3</v>
      </c>
      <c r="M1015" s="59">
        <v>17</v>
      </c>
      <c r="N1015" s="294">
        <f>IF(N1017&gt;0,C1015*T1015,T1015*(C1015-1)+U1015)</f>
        <v>153</v>
      </c>
      <c r="P1015" s="8">
        <f t="shared" si="0"/>
        <v>143.20000000000002</v>
      </c>
      <c r="R1015" s="20" t="str">
        <f>VLOOKUP(Reisedaten!$M1015,Auslandsreisepauschalen!$A$8:$G$249,2)</f>
        <v>Australien / im Übrigen</v>
      </c>
      <c r="T1015" s="20">
        <f>VLOOKUP(Reisedaten!$M1015,Auslandsreisepauschalen!$A$8:$G$249,4)</f>
        <v>51</v>
      </c>
      <c r="U1015" s="20">
        <f>VLOOKUP(Reisedaten!$M1015,Auslandsreisepauschalen!$A$8:$G$249,5)</f>
        <v>34</v>
      </c>
    </row>
    <row r="1016" spans="3:21" ht="19.5" customHeight="1">
      <c r="C1016" s="349"/>
      <c r="D1016" s="349"/>
      <c r="E1016" s="349"/>
      <c r="F1016" s="349"/>
      <c r="G1016" s="349"/>
      <c r="H1016" s="349"/>
      <c r="I1016" s="349"/>
      <c r="M1016" s="59"/>
      <c r="N1016" s="294"/>
      <c r="P1016" s="8">
        <f t="shared" si="0"/>
        <v>0</v>
      </c>
      <c r="R1016" s="20"/>
      <c r="T1016" s="20"/>
      <c r="U1016" s="20"/>
    </row>
    <row r="1017" spans="2:21" ht="19.5" customHeight="1">
      <c r="B1017" s="8" t="s">
        <v>282</v>
      </c>
      <c r="C1017" s="351">
        <v>3</v>
      </c>
      <c r="D1017" s="349"/>
      <c r="E1017" s="351"/>
      <c r="F1017" s="349"/>
      <c r="G1017" s="351">
        <v>3</v>
      </c>
      <c r="H1017" s="349"/>
      <c r="I1017" s="351">
        <v>3</v>
      </c>
      <c r="M1017" s="20">
        <v>5</v>
      </c>
      <c r="N1017" s="294">
        <f>IF(C1017&gt;0,IF(N1019&gt;0,C1017*T1017,T1017*(C1017-1)+U1017),0)</f>
        <v>81</v>
      </c>
      <c r="P1017" s="8">
        <f t="shared" si="0"/>
        <v>65.20000000000002</v>
      </c>
      <c r="R1017" s="20" t="str">
        <f>VLOOKUP(Reisedaten!$M1017,Auslandsreisepauschalen!$A$6:$G$252,2)</f>
        <v>Äthiopien</v>
      </c>
      <c r="T1017" s="20">
        <f>VLOOKUP(Reisedaten!$M1017,Auslandsreisepauschalen!$A$6:$G$252,4)</f>
        <v>27</v>
      </c>
      <c r="U1017" s="20">
        <f>VLOOKUP(Reisedaten!$M1017,Auslandsreisepauschalen!$A$6:$G$252,5)</f>
        <v>18</v>
      </c>
    </row>
    <row r="1018" spans="3:21" ht="19.5" customHeight="1">
      <c r="C1018" s="349"/>
      <c r="D1018" s="349"/>
      <c r="E1018" s="349"/>
      <c r="F1018" s="349"/>
      <c r="G1018" s="349"/>
      <c r="H1018" s="349"/>
      <c r="I1018" s="349"/>
      <c r="M1018" s="59"/>
      <c r="N1018" s="294"/>
      <c r="P1018" s="8">
        <f t="shared" si="0"/>
        <v>0</v>
      </c>
      <c r="R1018" s="20"/>
      <c r="T1018" s="20"/>
      <c r="U1018" s="20"/>
    </row>
    <row r="1019" spans="2:21" ht="19.5" customHeight="1">
      <c r="B1019" s="8" t="s">
        <v>282</v>
      </c>
      <c r="C1019" s="351">
        <v>1</v>
      </c>
      <c r="D1019" s="349"/>
      <c r="E1019" s="351">
        <v>3</v>
      </c>
      <c r="F1019" s="349"/>
      <c r="G1019" s="351">
        <v>3</v>
      </c>
      <c r="H1019" s="349"/>
      <c r="I1019" s="351">
        <v>3</v>
      </c>
      <c r="M1019" s="59">
        <v>6</v>
      </c>
      <c r="N1019" s="294">
        <f>IF(C1019&gt;0,IF(N1021&gt;0,C1019*T1019,T1019*(C1019-1)+U1019),0)</f>
        <v>24</v>
      </c>
      <c r="P1019" s="8">
        <f t="shared" si="0"/>
        <v>0</v>
      </c>
      <c r="R1019" s="20" t="str">
        <f>VLOOKUP(Reisedaten!$M1019,Auslandsreisepauschalen!$A$6:$G$252,2)</f>
        <v>Äquatorialguinea</v>
      </c>
      <c r="T1019" s="20">
        <f>VLOOKUP(Reisedaten!$M1019,Auslandsreisepauschalen!$A$6:$G$252,4)</f>
        <v>36</v>
      </c>
      <c r="U1019" s="20">
        <f>VLOOKUP(Reisedaten!$M1019,Auslandsreisepauschalen!$A$6:$G$252,5)</f>
        <v>24</v>
      </c>
    </row>
    <row r="1020" spans="3:21" ht="19.5" customHeight="1">
      <c r="C1020" s="349"/>
      <c r="D1020" s="349"/>
      <c r="E1020" s="349"/>
      <c r="F1020" s="349"/>
      <c r="G1020" s="349"/>
      <c r="H1020" s="349"/>
      <c r="I1020" s="349"/>
      <c r="M1020" s="59"/>
      <c r="N1020" s="294"/>
      <c r="P1020" s="8">
        <f t="shared" si="0"/>
        <v>0</v>
      </c>
      <c r="R1020" s="20"/>
      <c r="T1020" s="20"/>
      <c r="U1020" s="20"/>
    </row>
    <row r="1021" spans="2:21" ht="19.5" customHeight="1">
      <c r="B1021" s="8" t="s">
        <v>282</v>
      </c>
      <c r="C1021" s="351"/>
      <c r="D1021" s="349"/>
      <c r="E1021" s="351">
        <v>3</v>
      </c>
      <c r="F1021" s="349"/>
      <c r="G1021" s="351">
        <v>3</v>
      </c>
      <c r="H1021" s="349"/>
      <c r="I1021" s="351">
        <v>3</v>
      </c>
      <c r="M1021" s="59">
        <v>1</v>
      </c>
      <c r="N1021" s="294">
        <f>IF(C1021&gt;0,T1021*(C1021-1)+U1021,0)</f>
        <v>0</v>
      </c>
      <c r="P1021" s="8">
        <f t="shared" si="0"/>
        <v>0</v>
      </c>
      <c r="R1021" s="20" t="str">
        <f>VLOOKUP(Reisedaten!$M1021,Auslandsreisepauschalen!$A$6:$G$252,2)</f>
        <v> </v>
      </c>
      <c r="T1021" s="20">
        <f>VLOOKUP(Reisedaten!$M1021,Auslandsreisepauschalen!$A$6:$G$252,4)</f>
        <v>0</v>
      </c>
      <c r="U1021" s="20">
        <f>VLOOKUP(Reisedaten!$M1021,Auslandsreisepauschalen!$A$6:$G$252,5)</f>
        <v>0</v>
      </c>
    </row>
    <row r="1022" spans="2:9" ht="19.5" customHeight="1">
      <c r="B1022" s="8" t="s">
        <v>75</v>
      </c>
      <c r="I1022" s="349"/>
    </row>
    <row r="1023" spans="2:16" ht="19.5" customHeight="1">
      <c r="B1023" s="16"/>
      <c r="C1023" s="8">
        <f>SUM(C1013:C1021)</f>
        <v>10</v>
      </c>
      <c r="I1023" s="8"/>
      <c r="N1023" s="29">
        <f>SUM(N1013:N1021)</f>
        <v>318</v>
      </c>
      <c r="O1023" s="29"/>
      <c r="P1023" s="29">
        <f>SUM(P1013:P1021)</f>
        <v>252.00000000000003</v>
      </c>
    </row>
    <row r="1024" spans="3:5" ht="19.5" customHeight="1">
      <c r="C1024" s="20" t="str">
        <f>IF(C1010=C1023," ","Die Anzahl der Tage ist nicht korrekt!")</f>
        <v>Die Anzahl der Tage ist nicht korrekt!</v>
      </c>
      <c r="E1024" s="8" t="s">
        <v>291</v>
      </c>
    </row>
    <row r="2030" ht="19.5" customHeight="1">
      <c r="B2030" s="8" t="s">
        <v>268</v>
      </c>
    </row>
  </sheetData>
  <sheetProtection sheet="1" selectLockedCells="1"/>
  <mergeCells count="18">
    <mergeCell ref="C1002:L1002"/>
    <mergeCell ref="C1004:L1004"/>
    <mergeCell ref="C1006:L1006"/>
    <mergeCell ref="C1008:L1008"/>
    <mergeCell ref="C6:L6"/>
    <mergeCell ref="C28:L28"/>
    <mergeCell ref="C30:L30"/>
    <mergeCell ref="C26:L26"/>
    <mergeCell ref="C10:L10"/>
    <mergeCell ref="C12:L12"/>
    <mergeCell ref="C32:L32"/>
    <mergeCell ref="C14:L14"/>
    <mergeCell ref="C7:K7"/>
    <mergeCell ref="C16:L16"/>
    <mergeCell ref="C18:L18"/>
    <mergeCell ref="C8:L8"/>
    <mergeCell ref="C20:L20"/>
    <mergeCell ref="C24:L24"/>
  </mergeCells>
  <printOptions horizontalCentered="1"/>
  <pageMargins left="0.6299212598425197" right="0.2755905511811024" top="0.5118110236220472" bottom="0.2755905511811024" header="0.5118110236220472" footer="0.3937007874015748"/>
  <pageSetup cellComments="asDisplayed" fitToHeight="1" fitToWidth="1" horizontalDpi="600" verticalDpi="600" orientation="portrait" paperSize="9" scale="8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2:R110"/>
  <sheetViews>
    <sheetView showGridLines="0" showRowColHeaders="0" showZeros="0" zoomScalePageLayoutView="0" workbookViewId="0" topLeftCell="A26">
      <selection activeCell="H38" sqref="H38"/>
    </sheetView>
  </sheetViews>
  <sheetFormatPr defaultColWidth="11.421875" defaultRowHeight="19.5" customHeight="1"/>
  <cols>
    <col min="1" max="1" width="2.57421875" style="8" customWidth="1"/>
    <col min="2" max="2" width="16.7109375" style="8" customWidth="1"/>
    <col min="3" max="3" width="2.7109375" style="8" customWidth="1"/>
    <col min="4" max="4" width="16.7109375" style="8" customWidth="1"/>
    <col min="5" max="5" width="2.7109375" style="8" customWidth="1"/>
    <col min="6" max="6" width="14.7109375" style="8" customWidth="1"/>
    <col min="7" max="7" width="2.7109375" style="8" customWidth="1"/>
    <col min="8" max="8" width="16.7109375" style="8" customWidth="1"/>
    <col min="9" max="9" width="2.7109375" style="14" customWidth="1"/>
    <col min="10" max="10" width="16.7109375" style="8" customWidth="1"/>
    <col min="11" max="11" width="2.7109375" style="14" customWidth="1"/>
    <col min="12" max="12" width="16.7109375" style="14" customWidth="1"/>
    <col min="13" max="16384" width="11.421875" style="8" customWidth="1"/>
  </cols>
  <sheetData>
    <row r="1" ht="6" customHeight="1" hidden="1"/>
    <row r="2" spans="2:10" s="7" customFormat="1" ht="19.5" customHeight="1" hidden="1">
      <c r="B2" s="6" t="s">
        <v>6</v>
      </c>
      <c r="C2" s="6"/>
      <c r="J2" s="6"/>
    </row>
    <row r="3" spans="1:10" s="7" customFormat="1" ht="7.5" customHeight="1">
      <c r="A3" s="270"/>
      <c r="B3" s="6"/>
      <c r="C3" s="6"/>
      <c r="J3" s="6"/>
    </row>
    <row r="4" spans="2:12" s="7" customFormat="1" ht="19.5" customHeight="1">
      <c r="B4" s="268" t="s">
        <v>0</v>
      </c>
      <c r="C4" s="67"/>
      <c r="D4" s="68"/>
      <c r="E4" s="68"/>
      <c r="F4" s="68"/>
      <c r="G4" s="68"/>
      <c r="H4" s="68"/>
      <c r="I4" s="68"/>
      <c r="J4" s="67"/>
      <c r="K4" s="68"/>
      <c r="L4" s="68"/>
    </row>
    <row r="5" spans="2:12" s="7" customFormat="1" ht="11.25" customHeight="1">
      <c r="B5" s="72"/>
      <c r="C5" s="64"/>
      <c r="D5" s="65"/>
      <c r="E5" s="65"/>
      <c r="F5" s="65"/>
      <c r="G5" s="65"/>
      <c r="H5" s="65"/>
      <c r="I5" s="65"/>
      <c r="J5" s="64"/>
      <c r="K5" s="65"/>
      <c r="L5" s="65"/>
    </row>
    <row r="6" spans="2:12" s="7" customFormat="1" ht="11.25" customHeight="1" hidden="1">
      <c r="B6" s="72" t="s">
        <v>28</v>
      </c>
      <c r="C6" s="64"/>
      <c r="D6" s="65"/>
      <c r="E6" s="65"/>
      <c r="F6" s="65"/>
      <c r="G6" s="65"/>
      <c r="H6" s="65"/>
      <c r="I6" s="65"/>
      <c r="J6" s="64"/>
      <c r="K6" s="65"/>
      <c r="L6" s="65"/>
    </row>
    <row r="7" spans="2:12" s="7" customFormat="1" ht="11.25" customHeight="1" hidden="1">
      <c r="B7" s="72"/>
      <c r="C7" s="64"/>
      <c r="D7" s="65"/>
      <c r="E7" s="65"/>
      <c r="F7" s="65"/>
      <c r="G7" s="65"/>
      <c r="H7" s="65"/>
      <c r="I7" s="65"/>
      <c r="J7" s="64"/>
      <c r="K7" s="65"/>
      <c r="L7" s="65"/>
    </row>
    <row r="8" spans="2:12" s="7" customFormat="1" ht="12.75" customHeight="1" hidden="1">
      <c r="B8" s="120" t="str">
        <f>Reisedaten!$C$12</f>
        <v>Hamburg - Freiburg - Hamburg</v>
      </c>
      <c r="C8" s="64"/>
      <c r="D8" s="65"/>
      <c r="E8" s="65"/>
      <c r="F8" s="65"/>
      <c r="G8" s="65"/>
      <c r="H8" s="65"/>
      <c r="I8" s="65"/>
      <c r="J8" s="64"/>
      <c r="K8" s="65"/>
      <c r="L8" s="65"/>
    </row>
    <row r="9" spans="2:12" s="7" customFormat="1" ht="12.75" customHeight="1" hidden="1">
      <c r="B9" s="120">
        <f>Reisedaten!$C$14</f>
        <v>0</v>
      </c>
      <c r="C9" s="64"/>
      <c r="D9" s="65"/>
      <c r="E9" s="65"/>
      <c r="F9" s="65"/>
      <c r="G9" s="65"/>
      <c r="H9" s="65"/>
      <c r="I9" s="65"/>
      <c r="J9" s="64"/>
      <c r="K9" s="65"/>
      <c r="L9" s="65"/>
    </row>
    <row r="10" spans="2:12" s="7" customFormat="1" ht="12.75" customHeight="1" hidden="1">
      <c r="B10" s="120">
        <f>Reisedaten!$C$16</f>
        <v>0</v>
      </c>
      <c r="C10" s="64"/>
      <c r="D10" s="65"/>
      <c r="E10" s="65"/>
      <c r="F10" s="65"/>
      <c r="G10" s="65"/>
      <c r="H10" s="65"/>
      <c r="I10" s="65"/>
      <c r="J10" s="64"/>
      <c r="K10" s="65"/>
      <c r="L10" s="65"/>
    </row>
    <row r="11" spans="2:12" s="7" customFormat="1" ht="12.75" customHeight="1" hidden="1">
      <c r="B11" s="120">
        <f>Reisedaten!$C$18</f>
        <v>0</v>
      </c>
      <c r="C11" s="64"/>
      <c r="D11" s="65"/>
      <c r="E11" s="65"/>
      <c r="F11" s="65"/>
      <c r="G11" s="65"/>
      <c r="H11" s="65"/>
      <c r="I11" s="65"/>
      <c r="J11" s="64"/>
      <c r="K11" s="65"/>
      <c r="L11" s="65"/>
    </row>
    <row r="12" spans="2:12" s="7" customFormat="1" ht="12.75" customHeight="1" hidden="1">
      <c r="B12" s="120">
        <f>Reisedaten!$C$20</f>
        <v>0</v>
      </c>
      <c r="C12" s="64"/>
      <c r="D12" s="65"/>
      <c r="E12" s="65"/>
      <c r="F12" s="65"/>
      <c r="G12" s="65"/>
      <c r="H12" s="65"/>
      <c r="I12" s="65"/>
      <c r="J12" s="64"/>
      <c r="K12" s="65"/>
      <c r="L12" s="65"/>
    </row>
    <row r="13" spans="2:12" s="7" customFormat="1" ht="11.25" customHeight="1" hidden="1">
      <c r="B13" s="72"/>
      <c r="C13" s="64"/>
      <c r="D13" s="65"/>
      <c r="E13" s="65"/>
      <c r="F13" s="65"/>
      <c r="G13" s="65"/>
      <c r="H13" s="65"/>
      <c r="I13" s="65"/>
      <c r="J13" s="64"/>
      <c r="K13" s="65"/>
      <c r="L13" s="65"/>
    </row>
    <row r="14" spans="2:14" ht="19.5" customHeight="1">
      <c r="B14" s="581" t="s">
        <v>36</v>
      </c>
      <c r="C14" s="581"/>
      <c r="D14" s="581"/>
      <c r="E14" s="72"/>
      <c r="F14" s="72"/>
      <c r="G14" s="72"/>
      <c r="H14" s="72"/>
      <c r="I14" s="72"/>
      <c r="J14" s="72"/>
      <c r="K14" s="72"/>
      <c r="L14" s="72"/>
      <c r="M14" s="5"/>
      <c r="N14" s="5"/>
    </row>
    <row r="15" spans="2:15" ht="19.5" customHeight="1">
      <c r="B15" s="97" t="s">
        <v>34</v>
      </c>
      <c r="C15" s="97"/>
      <c r="D15" s="97" t="s">
        <v>18</v>
      </c>
      <c r="E15" s="97"/>
      <c r="F15" s="97" t="s">
        <v>19</v>
      </c>
      <c r="G15" s="97"/>
      <c r="H15" s="97" t="s">
        <v>56</v>
      </c>
      <c r="I15" s="97"/>
      <c r="J15" s="142" t="s">
        <v>71</v>
      </c>
      <c r="K15" s="97"/>
      <c r="L15" s="97" t="s">
        <v>35</v>
      </c>
      <c r="M15" s="5"/>
      <c r="N15" s="5"/>
      <c r="O15" s="5"/>
    </row>
    <row r="16" spans="2:15" ht="19.5" customHeight="1">
      <c r="B16" s="143">
        <v>100</v>
      </c>
      <c r="C16" s="72"/>
      <c r="D16" s="143">
        <v>10</v>
      </c>
      <c r="E16" s="72"/>
      <c r="F16" s="143">
        <v>10</v>
      </c>
      <c r="G16" s="72"/>
      <c r="H16" s="143">
        <v>500</v>
      </c>
      <c r="I16" s="72"/>
      <c r="J16" s="143">
        <v>10</v>
      </c>
      <c r="K16" s="72"/>
      <c r="L16" s="143">
        <v>10</v>
      </c>
      <c r="M16" s="5"/>
      <c r="N16" s="5"/>
      <c r="O16" s="5"/>
    </row>
    <row r="17" spans="2:15" ht="19.5" customHeight="1">
      <c r="B17" s="143"/>
      <c r="C17" s="72"/>
      <c r="D17" s="143"/>
      <c r="E17" s="72"/>
      <c r="F17" s="143"/>
      <c r="G17" s="72"/>
      <c r="H17" s="143"/>
      <c r="I17" s="72"/>
      <c r="J17" s="143"/>
      <c r="K17" s="72"/>
      <c r="L17" s="143"/>
      <c r="M17" s="5"/>
      <c r="N17" s="5"/>
      <c r="O17" s="5"/>
    </row>
    <row r="18" spans="2:15" ht="19.5" customHeight="1">
      <c r="B18" s="143"/>
      <c r="C18" s="72"/>
      <c r="D18" s="143"/>
      <c r="E18" s="72"/>
      <c r="F18" s="143"/>
      <c r="G18" s="72"/>
      <c r="H18" s="143"/>
      <c r="I18" s="72"/>
      <c r="J18" s="143"/>
      <c r="K18" s="72"/>
      <c r="L18" s="143"/>
      <c r="M18" s="5"/>
      <c r="N18" s="5"/>
      <c r="O18" s="5"/>
    </row>
    <row r="19" spans="2:15" ht="19.5" customHeight="1">
      <c r="B19" s="143"/>
      <c r="C19" s="72"/>
      <c r="D19" s="143"/>
      <c r="E19" s="72"/>
      <c r="F19" s="143"/>
      <c r="G19" s="72"/>
      <c r="H19" s="143"/>
      <c r="I19" s="72"/>
      <c r="J19" s="143"/>
      <c r="K19" s="72"/>
      <c r="L19" s="143"/>
      <c r="M19" s="5"/>
      <c r="N19" s="5"/>
      <c r="O19" s="5"/>
    </row>
    <row r="20" spans="2:15" ht="19.5" customHeight="1">
      <c r="B20" s="143"/>
      <c r="C20" s="72"/>
      <c r="D20" s="143"/>
      <c r="E20" s="72"/>
      <c r="F20" s="143"/>
      <c r="G20" s="72"/>
      <c r="H20" s="143"/>
      <c r="I20" s="72"/>
      <c r="J20" s="143"/>
      <c r="K20" s="72"/>
      <c r="L20" s="143"/>
      <c r="M20" s="5"/>
      <c r="N20" s="5"/>
      <c r="O20" s="5"/>
    </row>
    <row r="21" spans="2:14" ht="19.5" customHeight="1">
      <c r="B21" s="144"/>
      <c r="C21" s="145"/>
      <c r="D21" s="144"/>
      <c r="E21" s="146"/>
      <c r="F21" s="144"/>
      <c r="G21" s="147"/>
      <c r="H21" s="144"/>
      <c r="I21" s="148"/>
      <c r="J21" s="144"/>
      <c r="K21" s="149"/>
      <c r="L21" s="144"/>
      <c r="N21" s="20"/>
    </row>
    <row r="22" spans="2:12" ht="12.75" customHeight="1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2:14" ht="10.5" customHeight="1">
      <c r="B23" s="150"/>
      <c r="C23" s="122"/>
      <c r="D23" s="122"/>
      <c r="E23" s="122"/>
      <c r="F23" s="122"/>
      <c r="G23" s="122"/>
      <c r="H23" s="122"/>
      <c r="I23" s="122"/>
      <c r="J23" s="122"/>
      <c r="K23" s="122"/>
      <c r="L23" s="151"/>
      <c r="N23" s="20"/>
    </row>
    <row r="24" spans="2:12" ht="8.25" customHeight="1">
      <c r="B24" s="152"/>
      <c r="C24" s="84"/>
      <c r="D24" s="84"/>
      <c r="E24" s="84"/>
      <c r="F24" s="84"/>
      <c r="G24" s="84"/>
      <c r="H24" s="84"/>
      <c r="I24" s="84"/>
      <c r="J24" s="84"/>
      <c r="K24" s="84"/>
      <c r="L24" s="153"/>
    </row>
    <row r="25" spans="2:12" ht="19.5" customHeight="1">
      <c r="B25" s="154"/>
      <c r="C25" s="136"/>
      <c r="D25" s="131"/>
      <c r="E25" s="136"/>
      <c r="F25" s="136"/>
      <c r="G25" s="136"/>
      <c r="H25" s="155"/>
      <c r="I25" s="136"/>
      <c r="J25" s="582" t="s">
        <v>387</v>
      </c>
      <c r="K25" s="583"/>
      <c r="L25" s="584"/>
    </row>
    <row r="26" spans="2:12" ht="19.5" customHeight="1">
      <c r="B26" s="156" t="s">
        <v>58</v>
      </c>
      <c r="C26" s="86"/>
      <c r="D26" s="82"/>
      <c r="E26" s="82"/>
      <c r="F26" s="135"/>
      <c r="G26" s="82"/>
      <c r="H26" s="82"/>
      <c r="I26" s="82"/>
      <c r="J26" s="585"/>
      <c r="K26" s="586"/>
      <c r="L26" s="587"/>
    </row>
    <row r="27" spans="2:12" ht="19.5" customHeight="1">
      <c r="B27" s="157" t="s">
        <v>34</v>
      </c>
      <c r="C27" s="82"/>
      <c r="D27" s="83"/>
      <c r="E27" s="82"/>
      <c r="F27" s="82"/>
      <c r="G27" s="82"/>
      <c r="H27" s="82"/>
      <c r="I27" s="82"/>
      <c r="J27" s="578">
        <f>SUM(B16:B21)</f>
        <v>100</v>
      </c>
      <c r="K27" s="579"/>
      <c r="L27" s="580"/>
    </row>
    <row r="28" spans="2:12" ht="19.5" customHeight="1">
      <c r="B28" s="157" t="s">
        <v>18</v>
      </c>
      <c r="C28" s="82"/>
      <c r="D28" s="83"/>
      <c r="E28" s="82"/>
      <c r="F28" s="82"/>
      <c r="G28" s="82"/>
      <c r="H28" s="82"/>
      <c r="I28" s="82"/>
      <c r="J28" s="158"/>
      <c r="K28" s="83"/>
      <c r="L28" s="159">
        <f>SUM(D16:D21)</f>
        <v>10</v>
      </c>
    </row>
    <row r="29" spans="2:12" ht="19.5" customHeight="1">
      <c r="B29" s="157" t="s">
        <v>19</v>
      </c>
      <c r="C29" s="82"/>
      <c r="D29" s="83"/>
      <c r="E29" s="82"/>
      <c r="F29" s="82"/>
      <c r="G29" s="82"/>
      <c r="H29" s="82"/>
      <c r="I29" s="82"/>
      <c r="J29" s="158"/>
      <c r="K29" s="83"/>
      <c r="L29" s="159">
        <f>SUM(F16:F21)</f>
        <v>10</v>
      </c>
    </row>
    <row r="30" spans="2:12" ht="19.5" customHeight="1">
      <c r="B30" s="157" t="s">
        <v>56</v>
      </c>
      <c r="C30" s="82"/>
      <c r="D30" s="83"/>
      <c r="E30" s="82"/>
      <c r="F30" s="82"/>
      <c r="G30" s="82"/>
      <c r="H30" s="82"/>
      <c r="I30" s="82"/>
      <c r="J30" s="158"/>
      <c r="K30" s="83"/>
      <c r="L30" s="159">
        <f>SUM(H16:H21)</f>
        <v>500</v>
      </c>
    </row>
    <row r="31" spans="2:12" ht="19.5" customHeight="1">
      <c r="B31" s="157" t="s">
        <v>71</v>
      </c>
      <c r="C31" s="82"/>
      <c r="D31" s="83"/>
      <c r="E31" s="82"/>
      <c r="F31" s="82"/>
      <c r="G31" s="82"/>
      <c r="H31" s="82"/>
      <c r="I31" s="82"/>
      <c r="J31" s="158"/>
      <c r="K31" s="83"/>
      <c r="L31" s="159">
        <f>SUM(J16:J21)</f>
        <v>10</v>
      </c>
    </row>
    <row r="32" spans="2:12" ht="19.5" customHeight="1">
      <c r="B32" s="157" t="s">
        <v>35</v>
      </c>
      <c r="C32" s="82"/>
      <c r="D32" s="83"/>
      <c r="E32" s="82"/>
      <c r="F32" s="82"/>
      <c r="G32" s="82"/>
      <c r="H32" s="82"/>
      <c r="I32" s="82"/>
      <c r="J32" s="158"/>
      <c r="K32" s="83"/>
      <c r="L32" s="159">
        <f>SUM(L16:L21)</f>
        <v>10</v>
      </c>
    </row>
    <row r="33" spans="2:12" ht="6.75" customHeight="1">
      <c r="B33" s="156"/>
      <c r="C33" s="86"/>
      <c r="D33" s="180"/>
      <c r="E33" s="86"/>
      <c r="F33" s="86"/>
      <c r="G33" s="86"/>
      <c r="H33" s="86"/>
      <c r="I33" s="86"/>
      <c r="J33" s="181"/>
      <c r="K33" s="180"/>
      <c r="L33" s="182"/>
    </row>
    <row r="34" spans="2:12" ht="19.5" customHeight="1">
      <c r="B34" s="183" t="s">
        <v>1</v>
      </c>
      <c r="C34" s="184"/>
      <c r="D34" s="185"/>
      <c r="E34" s="186"/>
      <c r="F34" s="184"/>
      <c r="G34" s="184"/>
      <c r="H34" s="184"/>
      <c r="I34" s="184"/>
      <c r="J34" s="187"/>
      <c r="K34" s="185"/>
      <c r="L34" s="188">
        <f>SUM(J27:L32)</f>
        <v>640</v>
      </c>
    </row>
    <row r="35" spans="2:12" ht="24.75" customHeight="1">
      <c r="B35" s="160" t="s">
        <v>70</v>
      </c>
      <c r="C35" s="161"/>
      <c r="D35" s="161"/>
      <c r="E35" s="161"/>
      <c r="F35" s="161"/>
      <c r="G35" s="162"/>
      <c r="H35" s="163">
        <f>PersönlicheEingaben_Pauschalen!L25</f>
        <v>0.3</v>
      </c>
      <c r="I35" s="82"/>
      <c r="J35" s="592"/>
      <c r="K35" s="593"/>
      <c r="L35" s="594"/>
    </row>
    <row r="36" spans="2:12" ht="6" customHeight="1">
      <c r="B36" s="156"/>
      <c r="C36" s="82"/>
      <c r="D36" s="82"/>
      <c r="E36" s="82"/>
      <c r="F36" s="82"/>
      <c r="G36" s="88"/>
      <c r="H36" s="87"/>
      <c r="I36" s="82"/>
      <c r="J36" s="164"/>
      <c r="K36" s="93"/>
      <c r="L36" s="165"/>
    </row>
    <row r="37" spans="2:12" ht="19.5" customHeight="1">
      <c r="B37" s="156" t="s">
        <v>37</v>
      </c>
      <c r="C37" s="82"/>
      <c r="D37" s="82"/>
      <c r="E37" s="88"/>
      <c r="F37" s="82"/>
      <c r="G37" s="82"/>
      <c r="H37" s="89" t="s">
        <v>38</v>
      </c>
      <c r="I37" s="82"/>
      <c r="J37" s="164"/>
      <c r="K37" s="93"/>
      <c r="L37" s="165"/>
    </row>
    <row r="38" spans="2:12" ht="30" customHeight="1">
      <c r="B38" s="588" t="str">
        <f>Reisedaten!C12</f>
        <v>Hamburg - Freiburg - Hamburg</v>
      </c>
      <c r="C38" s="589"/>
      <c r="D38" s="589"/>
      <c r="E38" s="589"/>
      <c r="F38" s="589"/>
      <c r="G38" s="166"/>
      <c r="H38" s="167">
        <v>10</v>
      </c>
      <c r="I38" s="82"/>
      <c r="J38" s="575">
        <f>H38*$H$35</f>
        <v>3</v>
      </c>
      <c r="K38" s="576"/>
      <c r="L38" s="577"/>
    </row>
    <row r="39" spans="2:12" ht="30" customHeight="1">
      <c r="B39" s="588">
        <f>Reisedaten!C14</f>
        <v>0</v>
      </c>
      <c r="C39" s="589"/>
      <c r="D39" s="589"/>
      <c r="E39" s="589"/>
      <c r="F39" s="589"/>
      <c r="G39" s="166"/>
      <c r="H39" s="167"/>
      <c r="I39" s="82"/>
      <c r="J39" s="575">
        <f>H39*$H$35</f>
        <v>0</v>
      </c>
      <c r="K39" s="576"/>
      <c r="L39" s="577"/>
    </row>
    <row r="40" spans="2:12" ht="30" customHeight="1">
      <c r="B40" s="588">
        <f>Reisedaten!C16</f>
        <v>0</v>
      </c>
      <c r="C40" s="589"/>
      <c r="D40" s="589"/>
      <c r="E40" s="589"/>
      <c r="F40" s="589"/>
      <c r="G40" s="166"/>
      <c r="H40" s="167"/>
      <c r="I40" s="82"/>
      <c r="J40" s="575">
        <f>H40*$H$35</f>
        <v>0</v>
      </c>
      <c r="K40" s="576"/>
      <c r="L40" s="577"/>
    </row>
    <row r="41" spans="2:12" ht="30" customHeight="1">
      <c r="B41" s="588">
        <f>Reisedaten!C18</f>
        <v>0</v>
      </c>
      <c r="C41" s="589"/>
      <c r="D41" s="589"/>
      <c r="E41" s="589"/>
      <c r="F41" s="589"/>
      <c r="G41" s="166"/>
      <c r="H41" s="167"/>
      <c r="I41" s="82"/>
      <c r="J41" s="575">
        <f>H41*$H$35</f>
        <v>0</v>
      </c>
      <c r="K41" s="576"/>
      <c r="L41" s="577"/>
    </row>
    <row r="42" spans="2:12" ht="19.5" customHeight="1" hidden="1">
      <c r="B42" s="590">
        <f>Reisedaten!C20</f>
        <v>0</v>
      </c>
      <c r="C42" s="591"/>
      <c r="D42" s="591"/>
      <c r="E42" s="591"/>
      <c r="F42" s="591"/>
      <c r="G42" s="166"/>
      <c r="H42" s="167"/>
      <c r="I42" s="82"/>
      <c r="J42" s="575">
        <f>H42*$H$35</f>
        <v>0</v>
      </c>
      <c r="K42" s="576"/>
      <c r="L42" s="577"/>
    </row>
    <row r="43" spans="2:12" ht="19.5" customHeight="1">
      <c r="B43" s="152"/>
      <c r="C43" s="84"/>
      <c r="D43" s="84"/>
      <c r="E43" s="84"/>
      <c r="F43" s="84"/>
      <c r="G43" s="84"/>
      <c r="H43" s="84"/>
      <c r="I43" s="82"/>
      <c r="J43" s="168"/>
      <c r="K43" s="169"/>
      <c r="L43" s="170"/>
    </row>
    <row r="44" spans="2:12" ht="19.5" customHeight="1" hidden="1">
      <c r="B44" s="157" t="s">
        <v>11</v>
      </c>
      <c r="C44" s="82"/>
      <c r="D44" s="171"/>
      <c r="E44" s="84"/>
      <c r="F44" s="84"/>
      <c r="G44" s="166"/>
      <c r="H44" s="167"/>
      <c r="I44" s="82"/>
      <c r="J44" s="575">
        <f>H44*D44*PersönlicheEingaben_Pauschalen!L27</f>
        <v>0</v>
      </c>
      <c r="K44" s="576"/>
      <c r="L44" s="577"/>
    </row>
    <row r="45" spans="2:12" ht="12.75" customHeight="1" hidden="1">
      <c r="B45" s="172"/>
      <c r="C45" s="90"/>
      <c r="D45" s="116"/>
      <c r="E45" s="116"/>
      <c r="F45" s="116"/>
      <c r="G45" s="173"/>
      <c r="H45" s="174"/>
      <c r="I45" s="82"/>
      <c r="J45" s="168"/>
      <c r="K45" s="169"/>
      <c r="L45" s="170"/>
    </row>
    <row r="46" spans="2:12" ht="19.5" customHeight="1" hidden="1">
      <c r="B46" s="172" t="s">
        <v>53</v>
      </c>
      <c r="C46" s="90"/>
      <c r="D46" s="116"/>
      <c r="E46" s="116"/>
      <c r="F46" s="116"/>
      <c r="G46" s="173"/>
      <c r="H46" s="174"/>
      <c r="I46" s="82"/>
      <c r="J46" s="168"/>
      <c r="K46" s="169"/>
      <c r="L46" s="170">
        <f>SUM(J38:L44)</f>
        <v>3</v>
      </c>
    </row>
    <row r="47" spans="2:12" ht="12" customHeight="1" hidden="1">
      <c r="B47" s="157"/>
      <c r="C47" s="82"/>
      <c r="D47" s="82"/>
      <c r="E47" s="82"/>
      <c r="F47" s="82"/>
      <c r="G47" s="82"/>
      <c r="H47" s="82"/>
      <c r="I47" s="82"/>
      <c r="J47" s="168"/>
      <c r="K47" s="169"/>
      <c r="L47" s="170"/>
    </row>
    <row r="48" spans="2:12" ht="19.5" customHeight="1">
      <c r="B48" s="175" t="s">
        <v>41</v>
      </c>
      <c r="C48" s="176"/>
      <c r="D48" s="176"/>
      <c r="E48" s="176"/>
      <c r="F48" s="176"/>
      <c r="G48" s="176"/>
      <c r="H48" s="176"/>
      <c r="I48" s="177"/>
      <c r="J48" s="178"/>
      <c r="K48" s="177"/>
      <c r="L48" s="179">
        <f>+L34+L46</f>
        <v>643</v>
      </c>
    </row>
    <row r="49" spans="2:12" ht="19.5" customHeight="1">
      <c r="B49" s="62"/>
      <c r="C49" s="62"/>
      <c r="D49" s="62"/>
      <c r="E49" s="62"/>
      <c r="F49" s="62"/>
      <c r="G49" s="62"/>
      <c r="H49" s="62"/>
      <c r="I49" s="63"/>
      <c r="J49" s="62"/>
      <c r="K49" s="63"/>
      <c r="L49" s="63"/>
    </row>
    <row r="80" spans="2:18" s="14" customFormat="1" ht="19.5" customHeight="1">
      <c r="B80" s="8"/>
      <c r="C80" s="8"/>
      <c r="D80" s="8"/>
      <c r="E80" s="8"/>
      <c r="F80" s="8"/>
      <c r="G80" s="8"/>
      <c r="H80" s="15"/>
      <c r="J80" s="15"/>
      <c r="M80" s="8"/>
      <c r="N80" s="8"/>
      <c r="O80" s="8"/>
      <c r="P80" s="8"/>
      <c r="Q80" s="8"/>
      <c r="R80" s="8"/>
    </row>
    <row r="81" spans="2:18" s="14" customFormat="1" ht="19.5" customHeight="1">
      <c r="B81" s="8"/>
      <c r="C81" s="8"/>
      <c r="D81" s="8"/>
      <c r="E81" s="8"/>
      <c r="F81" s="8"/>
      <c r="G81" s="8"/>
      <c r="H81" s="15"/>
      <c r="J81" s="15"/>
      <c r="M81" s="8"/>
      <c r="N81" s="8"/>
      <c r="O81" s="8"/>
      <c r="P81" s="8"/>
      <c r="Q81" s="8"/>
      <c r="R81" s="8"/>
    </row>
    <row r="82" spans="2:18" s="14" customFormat="1" ht="19.5" customHeight="1">
      <c r="B82" s="8"/>
      <c r="C82" s="8"/>
      <c r="D82" s="8"/>
      <c r="E82" s="8"/>
      <c r="F82" s="8"/>
      <c r="G82" s="8"/>
      <c r="H82" s="15"/>
      <c r="J82" s="15"/>
      <c r="M82" s="8"/>
      <c r="N82" s="8"/>
      <c r="O82" s="8"/>
      <c r="P82" s="8"/>
      <c r="Q82" s="8"/>
      <c r="R82" s="8"/>
    </row>
    <row r="83" spans="2:18" s="14" customFormat="1" ht="19.5" customHeight="1">
      <c r="B83" s="8"/>
      <c r="C83" s="8"/>
      <c r="D83" s="8"/>
      <c r="E83" s="8"/>
      <c r="F83" s="8"/>
      <c r="G83" s="8"/>
      <c r="H83" s="15"/>
      <c r="J83" s="15"/>
      <c r="M83" s="8"/>
      <c r="N83" s="8"/>
      <c r="O83" s="8"/>
      <c r="P83" s="8"/>
      <c r="Q83" s="8"/>
      <c r="R83" s="8"/>
    </row>
    <row r="84" spans="2:18" s="14" customFormat="1" ht="19.5" customHeight="1">
      <c r="B84" s="8"/>
      <c r="C84" s="8"/>
      <c r="D84" s="8"/>
      <c r="E84" s="8"/>
      <c r="F84" s="8"/>
      <c r="G84" s="8"/>
      <c r="H84" s="15"/>
      <c r="J84" s="15"/>
      <c r="M84" s="8"/>
      <c r="N84" s="8"/>
      <c r="O84" s="8"/>
      <c r="P84" s="8"/>
      <c r="Q84" s="8"/>
      <c r="R84" s="8"/>
    </row>
    <row r="85" spans="2:18" s="14" customFormat="1" ht="19.5" customHeight="1">
      <c r="B85" s="8"/>
      <c r="C85" s="8"/>
      <c r="D85" s="8"/>
      <c r="E85" s="8"/>
      <c r="F85" s="8"/>
      <c r="G85" s="8"/>
      <c r="H85" s="15"/>
      <c r="J85" s="15"/>
      <c r="M85" s="8"/>
      <c r="N85" s="8"/>
      <c r="O85" s="8"/>
      <c r="P85" s="8"/>
      <c r="Q85" s="8"/>
      <c r="R85" s="8"/>
    </row>
    <row r="86" spans="2:18" s="14" customFormat="1" ht="19.5" customHeight="1">
      <c r="B86" s="8"/>
      <c r="C86" s="8"/>
      <c r="D86" s="8"/>
      <c r="E86" s="8"/>
      <c r="F86" s="8"/>
      <c r="G86" s="8"/>
      <c r="H86" s="15"/>
      <c r="J86" s="15"/>
      <c r="M86" s="8"/>
      <c r="N86" s="8"/>
      <c r="O86" s="8"/>
      <c r="P86" s="8"/>
      <c r="Q86" s="8"/>
      <c r="R86" s="8"/>
    </row>
    <row r="87" spans="2:18" s="14" customFormat="1" ht="19.5" customHeight="1">
      <c r="B87" s="8"/>
      <c r="C87" s="8"/>
      <c r="D87" s="8"/>
      <c r="E87" s="8"/>
      <c r="F87" s="8"/>
      <c r="G87" s="8"/>
      <c r="H87" s="15"/>
      <c r="J87" s="15"/>
      <c r="M87" s="8"/>
      <c r="N87" s="8"/>
      <c r="O87" s="8"/>
      <c r="P87" s="8"/>
      <c r="Q87" s="8"/>
      <c r="R87" s="8"/>
    </row>
    <row r="88" spans="2:18" s="14" customFormat="1" ht="19.5" customHeight="1">
      <c r="B88" s="8"/>
      <c r="C88" s="8"/>
      <c r="D88" s="8"/>
      <c r="E88" s="8"/>
      <c r="F88" s="8"/>
      <c r="G88" s="8"/>
      <c r="H88" s="15"/>
      <c r="J88" s="15"/>
      <c r="M88" s="8"/>
      <c r="N88" s="8"/>
      <c r="O88" s="8"/>
      <c r="P88" s="8"/>
      <c r="Q88" s="8"/>
      <c r="R88" s="8"/>
    </row>
    <row r="89" spans="2:18" s="14" customFormat="1" ht="19.5" customHeight="1">
      <c r="B89" s="8"/>
      <c r="C89" s="8"/>
      <c r="D89" s="8"/>
      <c r="E89" s="8"/>
      <c r="F89" s="8"/>
      <c r="G89" s="8"/>
      <c r="H89" s="15"/>
      <c r="J89" s="15"/>
      <c r="M89" s="8"/>
      <c r="N89" s="8"/>
      <c r="O89" s="8"/>
      <c r="P89" s="8"/>
      <c r="Q89" s="8"/>
      <c r="R89" s="8"/>
    </row>
    <row r="90" spans="2:18" s="14" customFormat="1" ht="19.5" customHeight="1">
      <c r="B90" s="8"/>
      <c r="C90" s="8"/>
      <c r="D90" s="8"/>
      <c r="E90" s="8"/>
      <c r="F90" s="8"/>
      <c r="G90" s="8"/>
      <c r="H90" s="15"/>
      <c r="J90" s="15"/>
      <c r="M90" s="8"/>
      <c r="N90" s="8"/>
      <c r="O90" s="8"/>
      <c r="P90" s="8"/>
      <c r="Q90" s="8"/>
      <c r="R90" s="8"/>
    </row>
    <row r="91" spans="2:18" s="14" customFormat="1" ht="19.5" customHeight="1">
      <c r="B91" s="8"/>
      <c r="C91" s="8"/>
      <c r="D91" s="8"/>
      <c r="E91" s="8"/>
      <c r="F91" s="8"/>
      <c r="G91" s="8"/>
      <c r="H91" s="15"/>
      <c r="J91" s="15"/>
      <c r="M91" s="8"/>
      <c r="N91" s="8"/>
      <c r="O91" s="8"/>
      <c r="P91" s="8"/>
      <c r="Q91" s="8"/>
      <c r="R91" s="8"/>
    </row>
    <row r="92" spans="2:18" s="14" customFormat="1" ht="19.5" customHeight="1">
      <c r="B92" s="8"/>
      <c r="C92" s="8"/>
      <c r="D92" s="8"/>
      <c r="E92" s="8"/>
      <c r="F92" s="8"/>
      <c r="G92" s="8"/>
      <c r="H92" s="15"/>
      <c r="J92" s="15"/>
      <c r="M92" s="8"/>
      <c r="N92" s="8"/>
      <c r="O92" s="8"/>
      <c r="P92" s="8"/>
      <c r="Q92" s="8"/>
      <c r="R92" s="8"/>
    </row>
    <row r="93" spans="2:18" s="14" customFormat="1" ht="19.5" customHeight="1">
      <c r="B93" s="8"/>
      <c r="C93" s="8"/>
      <c r="D93" s="8"/>
      <c r="E93" s="8"/>
      <c r="F93" s="8"/>
      <c r="G93" s="8"/>
      <c r="H93" s="15"/>
      <c r="J93" s="15"/>
      <c r="M93" s="8"/>
      <c r="N93" s="8"/>
      <c r="O93" s="8"/>
      <c r="P93" s="8"/>
      <c r="Q93" s="8"/>
      <c r="R93" s="8"/>
    </row>
    <row r="94" spans="2:18" s="14" customFormat="1" ht="19.5" customHeight="1">
      <c r="B94" s="8"/>
      <c r="C94" s="8"/>
      <c r="D94" s="8"/>
      <c r="E94" s="8"/>
      <c r="F94" s="8"/>
      <c r="G94" s="8"/>
      <c r="H94" s="15"/>
      <c r="J94" s="15"/>
      <c r="M94" s="8"/>
      <c r="N94" s="8"/>
      <c r="O94" s="8"/>
      <c r="P94" s="8"/>
      <c r="Q94" s="8"/>
      <c r="R94" s="8"/>
    </row>
    <row r="95" spans="2:18" s="14" customFormat="1" ht="19.5" customHeight="1">
      <c r="B95" s="8"/>
      <c r="C95" s="8"/>
      <c r="D95" s="8"/>
      <c r="E95" s="8"/>
      <c r="F95" s="8"/>
      <c r="G95" s="8"/>
      <c r="H95" s="15"/>
      <c r="J95" s="15"/>
      <c r="M95" s="8"/>
      <c r="N95" s="8"/>
      <c r="O95" s="8"/>
      <c r="P95" s="8"/>
      <c r="Q95" s="8"/>
      <c r="R95" s="8"/>
    </row>
    <row r="96" spans="2:18" s="14" customFormat="1" ht="19.5" customHeight="1">
      <c r="B96" s="8"/>
      <c r="C96" s="8"/>
      <c r="D96" s="8"/>
      <c r="E96" s="8"/>
      <c r="F96" s="8"/>
      <c r="G96" s="8"/>
      <c r="H96" s="15"/>
      <c r="J96" s="15"/>
      <c r="M96" s="8"/>
      <c r="N96" s="8"/>
      <c r="O96" s="8"/>
      <c r="P96" s="8"/>
      <c r="Q96" s="8"/>
      <c r="R96" s="8"/>
    </row>
    <row r="97" spans="2:18" s="14" customFormat="1" ht="19.5" customHeight="1">
      <c r="B97" s="8"/>
      <c r="C97" s="8"/>
      <c r="D97" s="8"/>
      <c r="E97" s="8"/>
      <c r="F97" s="8"/>
      <c r="G97" s="8"/>
      <c r="H97" s="15"/>
      <c r="J97" s="15"/>
      <c r="M97" s="8"/>
      <c r="N97" s="8"/>
      <c r="O97" s="8"/>
      <c r="P97" s="8"/>
      <c r="Q97" s="8"/>
      <c r="R97" s="8"/>
    </row>
    <row r="98" spans="2:18" s="14" customFormat="1" ht="19.5" customHeight="1">
      <c r="B98" s="8"/>
      <c r="C98" s="8"/>
      <c r="D98" s="8"/>
      <c r="E98" s="8"/>
      <c r="F98" s="8"/>
      <c r="G98" s="8"/>
      <c r="H98" s="15"/>
      <c r="J98" s="15"/>
      <c r="M98" s="8"/>
      <c r="N98" s="8"/>
      <c r="O98" s="8"/>
      <c r="P98" s="8"/>
      <c r="Q98" s="8"/>
      <c r="R98" s="8"/>
    </row>
    <row r="99" spans="2:18" s="14" customFormat="1" ht="19.5" customHeight="1">
      <c r="B99" s="8"/>
      <c r="C99" s="8"/>
      <c r="D99" s="8"/>
      <c r="E99" s="8"/>
      <c r="F99" s="8"/>
      <c r="G99" s="8"/>
      <c r="H99" s="15"/>
      <c r="J99" s="15"/>
      <c r="M99" s="8"/>
      <c r="N99" s="8"/>
      <c r="O99" s="8"/>
      <c r="P99" s="8"/>
      <c r="Q99" s="8"/>
      <c r="R99" s="8"/>
    </row>
    <row r="100" spans="2:18" s="14" customFormat="1" ht="19.5" customHeight="1">
      <c r="B100" s="8"/>
      <c r="C100" s="8"/>
      <c r="D100" s="8"/>
      <c r="E100" s="8"/>
      <c r="F100" s="8"/>
      <c r="G100" s="8"/>
      <c r="H100" s="15"/>
      <c r="J100" s="15"/>
      <c r="M100" s="8"/>
      <c r="N100" s="8"/>
      <c r="O100" s="8"/>
      <c r="P100" s="8"/>
      <c r="Q100" s="8"/>
      <c r="R100" s="8"/>
    </row>
    <row r="101" spans="2:18" s="14" customFormat="1" ht="19.5" customHeight="1">
      <c r="B101" s="8"/>
      <c r="C101" s="8"/>
      <c r="D101" s="8"/>
      <c r="E101" s="8"/>
      <c r="F101" s="8"/>
      <c r="G101" s="8"/>
      <c r="H101" s="15"/>
      <c r="J101" s="15"/>
      <c r="M101" s="8"/>
      <c r="N101" s="8"/>
      <c r="O101" s="8"/>
      <c r="P101" s="8"/>
      <c r="Q101" s="8"/>
      <c r="R101" s="8"/>
    </row>
    <row r="102" spans="2:18" s="14" customFormat="1" ht="19.5" customHeight="1">
      <c r="B102" s="8"/>
      <c r="C102" s="8"/>
      <c r="D102" s="8"/>
      <c r="E102" s="8"/>
      <c r="F102" s="8"/>
      <c r="G102" s="8"/>
      <c r="H102" s="15"/>
      <c r="J102" s="15"/>
      <c r="M102" s="8"/>
      <c r="N102" s="8"/>
      <c r="O102" s="8"/>
      <c r="P102" s="8"/>
      <c r="Q102" s="8"/>
      <c r="R102" s="8"/>
    </row>
    <row r="103" spans="2:18" s="14" customFormat="1" ht="19.5" customHeight="1">
      <c r="B103" s="8"/>
      <c r="C103" s="8"/>
      <c r="D103" s="8"/>
      <c r="E103" s="8"/>
      <c r="F103" s="8"/>
      <c r="G103" s="8"/>
      <c r="H103" s="15"/>
      <c r="J103" s="15"/>
      <c r="M103" s="8"/>
      <c r="N103" s="8"/>
      <c r="O103" s="8"/>
      <c r="P103" s="8"/>
      <c r="Q103" s="8"/>
      <c r="R103" s="8"/>
    </row>
    <row r="104" spans="2:18" s="14" customFormat="1" ht="19.5" customHeight="1">
      <c r="B104" s="8"/>
      <c r="C104" s="8"/>
      <c r="D104" s="8"/>
      <c r="E104" s="8"/>
      <c r="F104" s="8"/>
      <c r="G104" s="8"/>
      <c r="H104" s="15"/>
      <c r="J104" s="15"/>
      <c r="M104" s="8"/>
      <c r="N104" s="8"/>
      <c r="O104" s="8"/>
      <c r="P104" s="8"/>
      <c r="Q104" s="8"/>
      <c r="R104" s="8"/>
    </row>
    <row r="105" spans="2:18" s="14" customFormat="1" ht="19.5" customHeight="1">
      <c r="B105" s="8"/>
      <c r="C105" s="8"/>
      <c r="D105" s="8"/>
      <c r="E105" s="8"/>
      <c r="F105" s="8"/>
      <c r="G105" s="8"/>
      <c r="H105" s="15"/>
      <c r="J105" s="15"/>
      <c r="M105" s="8"/>
      <c r="N105" s="8"/>
      <c r="O105" s="8"/>
      <c r="P105" s="8"/>
      <c r="Q105" s="8"/>
      <c r="R105" s="8"/>
    </row>
    <row r="106" spans="2:18" s="14" customFormat="1" ht="19.5" customHeight="1">
      <c r="B106" s="8"/>
      <c r="C106" s="8"/>
      <c r="D106" s="8"/>
      <c r="E106" s="8"/>
      <c r="F106" s="8"/>
      <c r="G106" s="8"/>
      <c r="H106" s="15"/>
      <c r="J106" s="15"/>
      <c r="M106" s="8"/>
      <c r="N106" s="8"/>
      <c r="O106" s="8"/>
      <c r="P106" s="8"/>
      <c r="Q106" s="8"/>
      <c r="R106" s="8"/>
    </row>
    <row r="107" spans="2:18" s="14" customFormat="1" ht="19.5" customHeight="1">
      <c r="B107" s="8"/>
      <c r="C107" s="8"/>
      <c r="D107" s="8"/>
      <c r="E107" s="8"/>
      <c r="F107" s="8"/>
      <c r="G107" s="8"/>
      <c r="H107" s="15"/>
      <c r="J107" s="15"/>
      <c r="M107" s="8"/>
      <c r="N107" s="8"/>
      <c r="O107" s="8"/>
      <c r="P107" s="8"/>
      <c r="Q107" s="8"/>
      <c r="R107" s="8"/>
    </row>
    <row r="108" spans="2:18" s="14" customFormat="1" ht="19.5" customHeight="1">
      <c r="B108" s="8"/>
      <c r="C108" s="8"/>
      <c r="D108" s="8"/>
      <c r="E108" s="8"/>
      <c r="F108" s="8"/>
      <c r="G108" s="8"/>
      <c r="H108" s="15"/>
      <c r="J108" s="15"/>
      <c r="M108" s="8"/>
      <c r="N108" s="8"/>
      <c r="O108" s="8"/>
      <c r="P108" s="8"/>
      <c r="Q108" s="8"/>
      <c r="R108" s="8"/>
    </row>
    <row r="109" spans="2:18" s="14" customFormat="1" ht="19.5" customHeight="1">
      <c r="B109" s="8"/>
      <c r="C109" s="8"/>
      <c r="D109" s="8"/>
      <c r="E109" s="8"/>
      <c r="F109" s="8"/>
      <c r="G109" s="8"/>
      <c r="H109" s="15"/>
      <c r="J109" s="15"/>
      <c r="M109" s="8"/>
      <c r="N109" s="8"/>
      <c r="O109" s="8"/>
      <c r="P109" s="8"/>
      <c r="Q109" s="8"/>
      <c r="R109" s="8"/>
    </row>
    <row r="110" spans="2:18" s="14" customFormat="1" ht="19.5" customHeight="1">
      <c r="B110" s="8"/>
      <c r="C110" s="8"/>
      <c r="D110" s="8"/>
      <c r="E110" s="8"/>
      <c r="F110" s="8"/>
      <c r="G110" s="8"/>
      <c r="H110" s="15"/>
      <c r="J110" s="15"/>
      <c r="M110" s="8"/>
      <c r="N110" s="8"/>
      <c r="O110" s="8"/>
      <c r="P110" s="8"/>
      <c r="Q110" s="8"/>
      <c r="R110" s="8"/>
    </row>
  </sheetData>
  <sheetProtection password="C811" sheet="1" selectLockedCells="1"/>
  <mergeCells count="16">
    <mergeCell ref="J39:L39"/>
    <mergeCell ref="J40:L40"/>
    <mergeCell ref="J41:L41"/>
    <mergeCell ref="J42:L42"/>
    <mergeCell ref="J35:L35"/>
    <mergeCell ref="J38:L38"/>
    <mergeCell ref="J44:L44"/>
    <mergeCell ref="J27:L27"/>
    <mergeCell ref="B14:D14"/>
    <mergeCell ref="J25:L25"/>
    <mergeCell ref="J26:L26"/>
    <mergeCell ref="B38:F38"/>
    <mergeCell ref="B39:F39"/>
    <mergeCell ref="B40:F40"/>
    <mergeCell ref="B41:F41"/>
    <mergeCell ref="B42:F42"/>
  </mergeCells>
  <printOptions horizontalCentered="1"/>
  <pageMargins left="0.6299212598425197" right="0.2755905511811024" top="0.5118110236220472" bottom="0.2755905511811024" header="0.5118110236220472" footer="0.3937007874015748"/>
  <pageSetup cellComments="asDisplayed" fitToHeight="1" fitToWidth="1" horizontalDpi="600" verticalDpi="600" orientation="portrait" paperSize="9" scale="8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2:Q94"/>
  <sheetViews>
    <sheetView showGridLines="0" showRowColHeaders="0" zoomScalePageLayoutView="0" workbookViewId="0" topLeftCell="A3">
      <selection activeCell="D28" sqref="D28:D29"/>
    </sheetView>
  </sheetViews>
  <sheetFormatPr defaultColWidth="11.421875" defaultRowHeight="19.5" customHeight="1"/>
  <cols>
    <col min="1" max="1" width="2.57421875" style="8" customWidth="1"/>
    <col min="2" max="2" width="55.00390625" style="8" customWidth="1"/>
    <col min="3" max="3" width="1.1484375" style="8" customWidth="1"/>
    <col min="4" max="4" width="12.421875" style="8" bestFit="1" customWidth="1"/>
    <col min="5" max="5" width="7.57421875" style="8" bestFit="1" customWidth="1"/>
    <col min="6" max="6" width="8.7109375" style="8" customWidth="1"/>
    <col min="7" max="7" width="2.7109375" style="8" customWidth="1"/>
    <col min="8" max="8" width="20.7109375" style="8" bestFit="1" customWidth="1"/>
    <col min="9" max="9" width="2.7109375" style="14" customWidth="1"/>
    <col min="10" max="10" width="13.00390625" style="14" customWidth="1"/>
    <col min="11" max="11" width="30.7109375" style="8" customWidth="1"/>
    <col min="12" max="16384" width="11.421875" style="8" customWidth="1"/>
  </cols>
  <sheetData>
    <row r="1" ht="19.5" customHeight="1" hidden="1"/>
    <row r="2" spans="2:3" s="7" customFormat="1" ht="19.5" customHeight="1" hidden="1">
      <c r="B2" s="6" t="s">
        <v>6</v>
      </c>
      <c r="C2" s="6"/>
    </row>
    <row r="3" spans="2:3" s="7" customFormat="1" ht="12" customHeight="1">
      <c r="B3" s="6"/>
      <c r="C3" s="6"/>
    </row>
    <row r="4" spans="2:12" s="7" customFormat="1" ht="19.5" customHeight="1">
      <c r="B4" s="268" t="s">
        <v>294</v>
      </c>
      <c r="C4" s="67"/>
      <c r="D4" s="68"/>
      <c r="E4" s="68"/>
      <c r="F4" s="68"/>
      <c r="G4" s="68"/>
      <c r="H4" s="68"/>
      <c r="I4" s="68"/>
      <c r="J4" s="68"/>
      <c r="K4" s="65"/>
      <c r="L4" s="65"/>
    </row>
    <row r="5" spans="2:12" s="7" customFormat="1" ht="4.5" customHeight="1">
      <c r="B5" s="189"/>
      <c r="C5" s="140"/>
      <c r="D5" s="141"/>
      <c r="E5" s="141"/>
      <c r="F5" s="141"/>
      <c r="G5" s="141"/>
      <c r="H5" s="141"/>
      <c r="I5" s="141"/>
      <c r="J5" s="190"/>
      <c r="K5" s="65"/>
      <c r="L5" s="65"/>
    </row>
    <row r="6" spans="2:17" ht="19.5" customHeight="1">
      <c r="B6" s="595" t="s">
        <v>4</v>
      </c>
      <c r="C6" s="596"/>
      <c r="D6" s="596"/>
      <c r="E6" s="596"/>
      <c r="F6" s="597" t="s">
        <v>12</v>
      </c>
      <c r="G6" s="597"/>
      <c r="H6" s="597"/>
      <c r="I6" s="597"/>
      <c r="J6" s="192"/>
      <c r="K6" s="62"/>
      <c r="L6" s="62"/>
      <c r="P6" s="21"/>
      <c r="Q6" s="15"/>
    </row>
    <row r="7" spans="2:17" ht="4.5" customHeight="1">
      <c r="B7" s="362"/>
      <c r="C7" s="363"/>
      <c r="D7" s="363"/>
      <c r="E7" s="363"/>
      <c r="F7" s="364"/>
      <c r="G7" s="364"/>
      <c r="H7" s="364"/>
      <c r="I7" s="364"/>
      <c r="J7" s="192"/>
      <c r="K7" s="62"/>
      <c r="L7" s="62"/>
      <c r="P7" s="21"/>
      <c r="Q7" s="15"/>
    </row>
    <row r="8" spans="2:17" ht="19.5" customHeight="1">
      <c r="B8" s="201" t="s">
        <v>293</v>
      </c>
      <c r="C8" s="363"/>
      <c r="D8" s="363"/>
      <c r="E8" s="363"/>
      <c r="F8" s="203">
        <f>Reisedaten!M6</f>
        <v>1</v>
      </c>
      <c r="G8" s="364"/>
      <c r="H8" s="514">
        <f>Reisedaten!N7</f>
        <v>12</v>
      </c>
      <c r="I8" s="444"/>
      <c r="J8" s="411"/>
      <c r="K8" s="74"/>
      <c r="L8" s="62"/>
      <c r="P8" s="21"/>
      <c r="Q8" s="15"/>
    </row>
    <row r="9" spans="2:17" ht="4.5" customHeight="1">
      <c r="B9" s="362"/>
      <c r="C9" s="363"/>
      <c r="D9" s="363"/>
      <c r="E9" s="363"/>
      <c r="F9" s="203"/>
      <c r="G9" s="364"/>
      <c r="H9" s="443"/>
      <c r="I9" s="444"/>
      <c r="J9" s="411"/>
      <c r="K9" s="533"/>
      <c r="L9" s="62"/>
      <c r="P9" s="21"/>
      <c r="Q9" s="15"/>
    </row>
    <row r="10" spans="2:17" ht="19.5" customHeight="1">
      <c r="B10" s="201" t="s">
        <v>42</v>
      </c>
      <c r="C10" s="363"/>
      <c r="D10" s="202">
        <v>0.9993055555555556</v>
      </c>
      <c r="E10" s="203">
        <f>IF(D12&gt;D10,2,0)</f>
        <v>0</v>
      </c>
      <c r="F10" s="203">
        <f>Reisedaten!M6</f>
        <v>1</v>
      </c>
      <c r="G10" s="205"/>
      <c r="H10" s="514">
        <f>Reisedaten!M7</f>
        <v>24</v>
      </c>
      <c r="I10" s="444"/>
      <c r="J10" s="411"/>
      <c r="L10" s="206"/>
      <c r="M10" s="32"/>
      <c r="P10" s="21"/>
      <c r="Q10" s="15"/>
    </row>
    <row r="11" spans="2:17" ht="4.5" customHeight="1">
      <c r="B11" s="201"/>
      <c r="C11" s="363"/>
      <c r="D11" s="207">
        <v>0.3340277777777778</v>
      </c>
      <c r="E11" s="208">
        <f>D11</f>
        <v>0.3340277777777778</v>
      </c>
      <c r="F11" s="204"/>
      <c r="G11" s="205"/>
      <c r="H11" s="445"/>
      <c r="I11" s="446"/>
      <c r="J11" s="447"/>
      <c r="K11" s="535"/>
      <c r="L11" s="206"/>
      <c r="M11" s="32"/>
      <c r="P11" s="21"/>
      <c r="Q11" s="15"/>
    </row>
    <row r="12" spans="2:17" ht="19.5" customHeight="1">
      <c r="B12" s="201" t="s">
        <v>390</v>
      </c>
      <c r="C12" s="363"/>
      <c r="D12" s="212">
        <f>Reisedaten!O10</f>
        <v>0</v>
      </c>
      <c r="E12" s="213">
        <f>D12</f>
        <v>0</v>
      </c>
      <c r="F12" s="203">
        <f>IF(OR(E12&gt;E11,E12=E11),1,0)</f>
        <v>0</v>
      </c>
      <c r="G12" s="214"/>
      <c r="H12" s="448"/>
      <c r="I12" s="446"/>
      <c r="J12" s="215">
        <f>IF(E10=2,24,F12*H8)</f>
        <v>0</v>
      </c>
      <c r="K12" s="536">
        <f>IF(AND($D$12&lt;0.33,D18&gt;0),TEXT($K$16,"0,00")&amp;" € Sachbezugswert","")</f>
      </c>
      <c r="L12" s="528">
        <f>Reisedaten!U26</f>
        <v>0</v>
      </c>
      <c r="M12" s="35"/>
      <c r="P12" s="21"/>
      <c r="Q12" s="15"/>
    </row>
    <row r="13" spans="2:17" ht="4.5" customHeight="1">
      <c r="B13" s="201"/>
      <c r="C13" s="363"/>
      <c r="D13" s="217"/>
      <c r="E13" s="218"/>
      <c r="F13" s="210"/>
      <c r="G13" s="210"/>
      <c r="H13" s="219"/>
      <c r="I13" s="210"/>
      <c r="J13" s="211"/>
      <c r="K13" s="74"/>
      <c r="L13" s="206">
        <f>IF(ISERROR(L12)="FALSCH",0,L12)</f>
        <v>0</v>
      </c>
      <c r="M13" s="32"/>
      <c r="P13" s="21"/>
      <c r="Q13" s="15"/>
    </row>
    <row r="14" spans="2:17" ht="19.5" customHeight="1">
      <c r="B14" s="201" t="s">
        <v>60</v>
      </c>
      <c r="C14" s="363"/>
      <c r="D14" s="220">
        <f>IF(Reisedaten!O6=1,0,Reisedaten!O6)</f>
        <v>2</v>
      </c>
      <c r="E14" s="221"/>
      <c r="F14" s="210"/>
      <c r="G14" s="210"/>
      <c r="H14" s="219"/>
      <c r="I14" s="222"/>
      <c r="J14" s="411">
        <f>IF(D14=0,0,2*H8+H10*(D14-2))</f>
        <v>24</v>
      </c>
      <c r="L14" s="206"/>
      <c r="M14" s="32"/>
      <c r="P14" s="21"/>
      <c r="Q14" s="15"/>
    </row>
    <row r="15" spans="2:17" ht="4.5" customHeight="1">
      <c r="B15" s="195"/>
      <c r="C15" s="196"/>
      <c r="D15" s="223"/>
      <c r="E15" s="224"/>
      <c r="F15" s="225"/>
      <c r="G15" s="226"/>
      <c r="H15" s="227"/>
      <c r="I15" s="196"/>
      <c r="J15" s="192"/>
      <c r="K15" s="62"/>
      <c r="L15" s="206"/>
      <c r="M15" s="32"/>
      <c r="P15" s="21"/>
      <c r="Q15" s="15"/>
    </row>
    <row r="16" spans="2:17" ht="19.5" customHeight="1">
      <c r="B16" s="598" t="s">
        <v>74</v>
      </c>
      <c r="C16" s="599"/>
      <c r="D16" s="599"/>
      <c r="E16" s="599"/>
      <c r="F16" s="599"/>
      <c r="G16" s="599"/>
      <c r="H16" s="599"/>
      <c r="I16" s="599"/>
      <c r="J16" s="192"/>
      <c r="K16" s="532">
        <f>D19*1.7+D20*3.17+D21*3.17</f>
        <v>0</v>
      </c>
      <c r="L16" s="206"/>
      <c r="M16" s="32"/>
      <c r="P16" s="21"/>
      <c r="Q16" s="15"/>
    </row>
    <row r="17" spans="2:17" ht="4.5" customHeight="1">
      <c r="B17" s="362"/>
      <c r="C17" s="363"/>
      <c r="D17" s="363"/>
      <c r="E17" s="363"/>
      <c r="F17" s="363"/>
      <c r="G17" s="363"/>
      <c r="H17" s="363"/>
      <c r="I17" s="363"/>
      <c r="J17" s="192"/>
      <c r="K17" s="62"/>
      <c r="L17" s="206"/>
      <c r="M17" s="32"/>
      <c r="P17" s="21"/>
      <c r="Q17" s="15"/>
    </row>
    <row r="18" spans="2:17" ht="19.5" customHeight="1">
      <c r="B18" s="199" t="s">
        <v>375</v>
      </c>
      <c r="C18" s="196"/>
      <c r="D18" s="540">
        <f>SUM(D19:D21)</f>
        <v>0</v>
      </c>
      <c r="E18" s="196"/>
      <c r="F18" s="357" t="s">
        <v>1</v>
      </c>
      <c r="G18" s="196"/>
      <c r="H18" s="228"/>
      <c r="I18" s="229"/>
      <c r="J18" s="192"/>
      <c r="K18" s="62"/>
      <c r="L18" s="62"/>
      <c r="P18" s="21"/>
      <c r="Q18" s="15"/>
    </row>
    <row r="19" spans="2:17" ht="19.5" customHeight="1">
      <c r="B19" s="157" t="s">
        <v>10</v>
      </c>
      <c r="C19" s="529"/>
      <c r="D19" s="200"/>
      <c r="E19" s="365" t="s">
        <v>5</v>
      </c>
      <c r="F19" s="358">
        <f>0.2*$H$10</f>
        <v>4.800000000000001</v>
      </c>
      <c r="G19" s="88"/>
      <c r="H19" s="105">
        <f>+F19*D19</f>
        <v>0</v>
      </c>
      <c r="I19" s="229"/>
      <c r="J19" s="215"/>
      <c r="K19" s="534">
        <f>IF(D14&gt;1,"",IF(AND($D$12&lt;0.33,$D$18&gt;0),"Ohne Anspruch auf Verpflegungsmehraufwand muss der geldwerte Vorteil der Mahlzeit lohnversteuert werden!",""))</f>
      </c>
      <c r="L19" s="62"/>
      <c r="P19" s="21"/>
      <c r="Q19" s="15"/>
    </row>
    <row r="20" spans="2:17" ht="19.5" customHeight="1">
      <c r="B20" s="157" t="s">
        <v>8</v>
      </c>
      <c r="C20" s="82">
        <v>1</v>
      </c>
      <c r="D20" s="200"/>
      <c r="E20" s="365" t="s">
        <v>5</v>
      </c>
      <c r="F20" s="358">
        <f>$H$10*0.4</f>
        <v>9.600000000000001</v>
      </c>
      <c r="G20" s="88"/>
      <c r="H20" s="105">
        <f>+F20*D20</f>
        <v>0</v>
      </c>
      <c r="I20" s="229"/>
      <c r="J20" s="215"/>
      <c r="K20" s="62"/>
      <c r="L20" s="62"/>
      <c r="P20" s="21"/>
      <c r="Q20" s="15"/>
    </row>
    <row r="21" spans="2:17" ht="19.5" customHeight="1">
      <c r="B21" s="157" t="s">
        <v>13</v>
      </c>
      <c r="C21" s="82"/>
      <c r="D21" s="200"/>
      <c r="E21" s="365" t="s">
        <v>5</v>
      </c>
      <c r="F21" s="358">
        <f>$H$10*0.4</f>
        <v>9.600000000000001</v>
      </c>
      <c r="G21" s="88"/>
      <c r="H21" s="105">
        <f>+F21*D21</f>
        <v>0</v>
      </c>
      <c r="I21" s="229"/>
      <c r="J21" s="215">
        <f>IF(D14&gt;1,H22*(-1),IF(J12=0,0,H22*(-1)))</f>
        <v>0</v>
      </c>
      <c r="K21" s="62"/>
      <c r="L21" s="62"/>
      <c r="P21" s="21"/>
      <c r="Q21" s="15"/>
    </row>
    <row r="22" spans="2:17" ht="19.5" customHeight="1">
      <c r="B22" s="199" t="s">
        <v>376</v>
      </c>
      <c r="C22" s="196"/>
      <c r="D22" s="197"/>
      <c r="E22" s="196"/>
      <c r="F22" s="357"/>
      <c r="G22" s="196"/>
      <c r="H22" s="279">
        <f>IF(SUM(H19:H21)&gt;H8,H8,SUM(H19:H21))</f>
        <v>0</v>
      </c>
      <c r="I22" s="229"/>
      <c r="J22" s="215"/>
      <c r="K22" s="62"/>
      <c r="L22" s="62"/>
      <c r="P22" s="21"/>
      <c r="Q22" s="15"/>
    </row>
    <row r="23" spans="2:17" ht="19.5" customHeight="1">
      <c r="B23" s="157" t="s">
        <v>10</v>
      </c>
      <c r="C23" s="82"/>
      <c r="D23" s="200"/>
      <c r="E23" s="365" t="s">
        <v>5</v>
      </c>
      <c r="F23" s="358">
        <f>0.2*$H$10</f>
        <v>4.800000000000001</v>
      </c>
      <c r="G23" s="88"/>
      <c r="H23" s="105">
        <f>+F23*D23</f>
        <v>0</v>
      </c>
      <c r="I23" s="230"/>
      <c r="J23" s="215"/>
      <c r="K23" s="62"/>
      <c r="L23" s="62"/>
      <c r="P23" s="21"/>
      <c r="Q23" s="15"/>
    </row>
    <row r="24" spans="2:17" ht="19.5" customHeight="1">
      <c r="B24" s="157" t="s">
        <v>8</v>
      </c>
      <c r="C24" s="82"/>
      <c r="D24" s="200"/>
      <c r="E24" s="365" t="s">
        <v>5</v>
      </c>
      <c r="F24" s="358">
        <f>$H$10*0.4</f>
        <v>9.600000000000001</v>
      </c>
      <c r="G24" s="88"/>
      <c r="H24" s="105">
        <f>+F24*D24</f>
        <v>0</v>
      </c>
      <c r="I24" s="230"/>
      <c r="J24" s="215"/>
      <c r="K24" s="62"/>
      <c r="L24" s="62"/>
      <c r="P24" s="21"/>
      <c r="Q24" s="15"/>
    </row>
    <row r="25" spans="2:17" ht="19.5" customHeight="1">
      <c r="B25" s="157" t="s">
        <v>13</v>
      </c>
      <c r="C25" s="82"/>
      <c r="D25" s="200"/>
      <c r="E25" s="365" t="s">
        <v>5</v>
      </c>
      <c r="F25" s="358">
        <f>$H$10*0.4</f>
        <v>9.600000000000001</v>
      </c>
      <c r="G25" s="88"/>
      <c r="H25" s="105">
        <f>+F25*D25</f>
        <v>0</v>
      </c>
      <c r="I25" s="230"/>
      <c r="J25" s="215">
        <f>IF(AND(Reisedaten!O33=TRUE,H26&gt;24),(-24),H26*(-1))</f>
        <v>0</v>
      </c>
      <c r="K25" s="62"/>
      <c r="L25" s="62"/>
      <c r="P25" s="21"/>
      <c r="Q25" s="15"/>
    </row>
    <row r="26" spans="2:17" ht="19.5" customHeight="1">
      <c r="B26" s="156" t="s">
        <v>377</v>
      </c>
      <c r="C26" s="82"/>
      <c r="D26" s="82"/>
      <c r="E26" s="82"/>
      <c r="F26" s="358"/>
      <c r="G26" s="88"/>
      <c r="H26" s="282">
        <f>SUM(H23:H25)</f>
        <v>0</v>
      </c>
      <c r="I26" s="230"/>
      <c r="J26" s="215"/>
      <c r="K26" s="62"/>
      <c r="L26" s="62"/>
      <c r="P26" s="21"/>
      <c r="Q26" s="15"/>
    </row>
    <row r="27" spans="2:17" ht="19.5" customHeight="1">
      <c r="B27" s="157" t="s">
        <v>10</v>
      </c>
      <c r="C27" s="82"/>
      <c r="D27" s="200"/>
      <c r="E27" s="365" t="s">
        <v>5</v>
      </c>
      <c r="F27" s="358">
        <f>0.2*$H$10</f>
        <v>4.800000000000001</v>
      </c>
      <c r="G27" s="88"/>
      <c r="H27" s="105">
        <f>+F27*D27</f>
        <v>0</v>
      </c>
      <c r="I27" s="230"/>
      <c r="J27" s="215"/>
      <c r="K27" s="62"/>
      <c r="L27" s="62"/>
      <c r="P27" s="21"/>
      <c r="Q27" s="15"/>
    </row>
    <row r="28" spans="2:17" ht="19.5" customHeight="1">
      <c r="B28" s="157" t="s">
        <v>8</v>
      </c>
      <c r="C28" s="82"/>
      <c r="D28" s="200"/>
      <c r="E28" s="365" t="s">
        <v>5</v>
      </c>
      <c r="F28" s="358">
        <f>$H$10*0.4</f>
        <v>9.600000000000001</v>
      </c>
      <c r="G28" s="88"/>
      <c r="H28" s="105">
        <f>+F28*D28</f>
        <v>0</v>
      </c>
      <c r="I28" s="230"/>
      <c r="J28" s="215"/>
      <c r="K28" s="62"/>
      <c r="L28" s="62"/>
      <c r="P28" s="21"/>
      <c r="Q28" s="15"/>
    </row>
    <row r="29" spans="2:17" ht="19.5" customHeight="1">
      <c r="B29" s="157" t="s">
        <v>13</v>
      </c>
      <c r="C29" s="82"/>
      <c r="D29" s="200"/>
      <c r="E29" s="365" t="s">
        <v>5</v>
      </c>
      <c r="F29" s="358">
        <f>$H$10*0.4</f>
        <v>9.600000000000001</v>
      </c>
      <c r="G29" s="88"/>
      <c r="H29" s="105">
        <f>+F29*D29</f>
        <v>0</v>
      </c>
      <c r="I29" s="230"/>
      <c r="J29" s="215">
        <f>H30*(-1)</f>
        <v>0</v>
      </c>
      <c r="K29" s="74"/>
      <c r="L29" s="62"/>
      <c r="P29" s="21"/>
      <c r="Q29" s="15"/>
    </row>
    <row r="30" spans="2:17" ht="6" customHeight="1">
      <c r="B30" s="231"/>
      <c r="C30" s="137"/>
      <c r="D30" s="232"/>
      <c r="E30" s="232"/>
      <c r="F30" s="137"/>
      <c r="G30" s="137"/>
      <c r="H30" s="279">
        <f>IF(SUM(H27:H29)&gt;H8,H8,SUM(H27:H29))</f>
        <v>0</v>
      </c>
      <c r="I30" s="280"/>
      <c r="J30" s="530"/>
      <c r="K30" s="62"/>
      <c r="L30" s="62"/>
      <c r="P30" s="21"/>
      <c r="Q30" s="15"/>
    </row>
    <row r="31" spans="2:17" ht="23.25" customHeight="1">
      <c r="B31" s="233" t="s">
        <v>1</v>
      </c>
      <c r="C31" s="234"/>
      <c r="D31" s="235"/>
      <c r="E31" s="235"/>
      <c r="F31" s="234"/>
      <c r="G31" s="234"/>
      <c r="H31" s="236"/>
      <c r="I31" s="234"/>
      <c r="J31" s="531">
        <f>IF(SUM(J6:J30)&lt;0,0,SUM(J6:J30))</f>
        <v>24</v>
      </c>
      <c r="K31" s="74"/>
      <c r="L31" s="62"/>
      <c r="P31" s="21"/>
      <c r="Q31" s="15"/>
    </row>
    <row r="32" spans="2:17" ht="19.5" customHeight="1">
      <c r="B32" s="62"/>
      <c r="C32" s="62"/>
      <c r="D32" s="62"/>
      <c r="E32" s="62"/>
      <c r="F32" s="62"/>
      <c r="G32" s="62"/>
      <c r="H32" s="62"/>
      <c r="I32" s="63"/>
      <c r="J32" s="63"/>
      <c r="K32" s="62"/>
      <c r="L32" s="62"/>
      <c r="P32" s="21"/>
      <c r="Q32" s="15"/>
    </row>
    <row r="33" spans="2:17" ht="19.5" customHeight="1">
      <c r="B33" s="62"/>
      <c r="C33" s="62"/>
      <c r="D33" s="62"/>
      <c r="E33" s="62"/>
      <c r="F33" s="62"/>
      <c r="G33" s="62"/>
      <c r="H33" s="62"/>
      <c r="I33" s="63"/>
      <c r="J33" s="63"/>
      <c r="K33" s="62"/>
      <c r="L33" s="62"/>
      <c r="P33" s="21"/>
      <c r="Q33" s="15"/>
    </row>
    <row r="34" spans="2:17" ht="19.5" customHeight="1">
      <c r="B34" s="62"/>
      <c r="C34" s="62"/>
      <c r="D34" s="62"/>
      <c r="E34" s="62"/>
      <c r="F34" s="62"/>
      <c r="G34" s="62"/>
      <c r="H34" s="62"/>
      <c r="I34" s="63"/>
      <c r="J34" s="63"/>
      <c r="K34" s="62"/>
      <c r="L34" s="62"/>
      <c r="P34" s="21"/>
      <c r="Q34" s="15"/>
    </row>
    <row r="35" spans="2:17" ht="19.5" customHeight="1">
      <c r="B35" s="62"/>
      <c r="C35" s="62"/>
      <c r="D35" s="62"/>
      <c r="E35" s="62"/>
      <c r="F35" s="84"/>
      <c r="G35" s="84"/>
      <c r="H35" s="84"/>
      <c r="I35" s="82"/>
      <c r="J35" s="82"/>
      <c r="K35" s="62"/>
      <c r="L35" s="62"/>
      <c r="P35" s="21"/>
      <c r="Q35" s="15"/>
    </row>
    <row r="36" spans="6:17" ht="19.5" customHeight="1">
      <c r="F36" s="9"/>
      <c r="G36" s="9"/>
      <c r="H36" s="9"/>
      <c r="I36" s="30"/>
      <c r="J36" s="30"/>
      <c r="P36" s="21"/>
      <c r="Q36" s="15"/>
    </row>
    <row r="37" spans="6:10" ht="19.5" customHeight="1">
      <c r="F37" s="9"/>
      <c r="G37" s="9"/>
      <c r="H37" s="17"/>
      <c r="I37" s="30"/>
      <c r="J37" s="30"/>
    </row>
    <row r="38" spans="6:10" ht="19.5" customHeight="1">
      <c r="F38" s="9"/>
      <c r="G38" s="9"/>
      <c r="H38" s="17"/>
      <c r="I38" s="30"/>
      <c r="J38" s="30"/>
    </row>
    <row r="39" spans="6:10" ht="19.5" customHeight="1">
      <c r="F39" s="9"/>
      <c r="G39" s="9"/>
      <c r="H39" s="17"/>
      <c r="I39" s="30"/>
      <c r="J39" s="30"/>
    </row>
    <row r="40" spans="6:10" ht="19.5" customHeight="1">
      <c r="F40" s="9"/>
      <c r="G40" s="9"/>
      <c r="H40" s="9"/>
      <c r="I40" s="30"/>
      <c r="J40" s="30"/>
    </row>
    <row r="41" spans="6:10" ht="19.5" customHeight="1">
      <c r="F41" s="9"/>
      <c r="G41" s="9"/>
      <c r="H41" s="9"/>
      <c r="I41" s="30"/>
      <c r="J41" s="30"/>
    </row>
    <row r="42" spans="6:10" ht="19.5" customHeight="1">
      <c r="F42" s="9"/>
      <c r="G42" s="9"/>
      <c r="H42" s="9"/>
      <c r="I42" s="30"/>
      <c r="J42" s="30"/>
    </row>
    <row r="64" spans="2:16" s="14" customFormat="1" ht="19.5" customHeight="1">
      <c r="B64" s="8"/>
      <c r="C64" s="8"/>
      <c r="D64" s="8"/>
      <c r="E64" s="8"/>
      <c r="F64" s="8"/>
      <c r="G64" s="8"/>
      <c r="H64" s="15"/>
      <c r="K64" s="8"/>
      <c r="L64" s="8"/>
      <c r="M64" s="8"/>
      <c r="N64" s="8"/>
      <c r="O64" s="8"/>
      <c r="P64" s="8"/>
    </row>
    <row r="65" spans="2:16" s="14" customFormat="1" ht="19.5" customHeight="1">
      <c r="B65" s="8"/>
      <c r="C65" s="8"/>
      <c r="D65" s="8"/>
      <c r="E65" s="8"/>
      <c r="F65" s="8"/>
      <c r="G65" s="8"/>
      <c r="H65" s="15"/>
      <c r="K65" s="8"/>
      <c r="L65" s="8"/>
      <c r="M65" s="8"/>
      <c r="N65" s="8"/>
      <c r="O65" s="8"/>
      <c r="P65" s="8"/>
    </row>
    <row r="66" spans="2:16" s="14" customFormat="1" ht="19.5" customHeight="1">
      <c r="B66" s="8"/>
      <c r="C66" s="8"/>
      <c r="D66" s="8"/>
      <c r="E66" s="8"/>
      <c r="F66" s="8"/>
      <c r="G66" s="8"/>
      <c r="H66" s="15"/>
      <c r="K66" s="8"/>
      <c r="L66" s="8"/>
      <c r="M66" s="8"/>
      <c r="N66" s="8"/>
      <c r="O66" s="8"/>
      <c r="P66" s="8"/>
    </row>
    <row r="67" spans="2:16" s="14" customFormat="1" ht="19.5" customHeight="1">
      <c r="B67" s="8"/>
      <c r="C67" s="8"/>
      <c r="D67" s="8"/>
      <c r="E67" s="8"/>
      <c r="F67" s="8"/>
      <c r="G67" s="8"/>
      <c r="H67" s="15"/>
      <c r="K67" s="8"/>
      <c r="L67" s="8"/>
      <c r="M67" s="8"/>
      <c r="N67" s="8"/>
      <c r="O67" s="8"/>
      <c r="P67" s="8"/>
    </row>
    <row r="68" spans="2:16" s="14" customFormat="1" ht="19.5" customHeight="1">
      <c r="B68" s="8"/>
      <c r="C68" s="8"/>
      <c r="D68" s="8"/>
      <c r="E68" s="8"/>
      <c r="F68" s="8"/>
      <c r="G68" s="8"/>
      <c r="H68" s="15"/>
      <c r="K68" s="8"/>
      <c r="L68" s="8"/>
      <c r="M68" s="8"/>
      <c r="N68" s="8"/>
      <c r="O68" s="8"/>
      <c r="P68" s="8"/>
    </row>
    <row r="69" spans="2:16" s="14" customFormat="1" ht="19.5" customHeight="1">
      <c r="B69" s="8"/>
      <c r="C69" s="8"/>
      <c r="D69" s="8"/>
      <c r="E69" s="8"/>
      <c r="F69" s="8"/>
      <c r="G69" s="8"/>
      <c r="H69" s="15"/>
      <c r="K69" s="8"/>
      <c r="L69" s="8"/>
      <c r="M69" s="8"/>
      <c r="N69" s="8"/>
      <c r="O69" s="8"/>
      <c r="P69" s="8"/>
    </row>
    <row r="70" spans="2:16" s="14" customFormat="1" ht="19.5" customHeight="1">
      <c r="B70" s="8"/>
      <c r="C70" s="8"/>
      <c r="D70" s="8"/>
      <c r="E70" s="8"/>
      <c r="F70" s="8"/>
      <c r="G70" s="8"/>
      <c r="H70" s="15"/>
      <c r="K70" s="8"/>
      <c r="L70" s="8"/>
      <c r="M70" s="8"/>
      <c r="N70" s="8"/>
      <c r="O70" s="8"/>
      <c r="P70" s="8"/>
    </row>
    <row r="71" spans="2:16" s="14" customFormat="1" ht="19.5" customHeight="1">
      <c r="B71" s="8"/>
      <c r="C71" s="8"/>
      <c r="D71" s="8"/>
      <c r="E71" s="8"/>
      <c r="F71" s="8"/>
      <c r="G71" s="8"/>
      <c r="H71" s="15"/>
      <c r="K71" s="8"/>
      <c r="L71" s="8"/>
      <c r="M71" s="8"/>
      <c r="N71" s="8"/>
      <c r="O71" s="8"/>
      <c r="P71" s="8"/>
    </row>
    <row r="72" spans="2:16" s="14" customFormat="1" ht="19.5" customHeight="1">
      <c r="B72" s="8"/>
      <c r="C72" s="8"/>
      <c r="D72" s="8"/>
      <c r="E72" s="8"/>
      <c r="F72" s="8"/>
      <c r="G72" s="8"/>
      <c r="H72" s="15"/>
      <c r="K72" s="8"/>
      <c r="L72" s="8"/>
      <c r="M72" s="8"/>
      <c r="N72" s="8"/>
      <c r="O72" s="8"/>
      <c r="P72" s="8"/>
    </row>
    <row r="73" spans="2:16" s="14" customFormat="1" ht="19.5" customHeight="1">
      <c r="B73" s="8"/>
      <c r="C73" s="8"/>
      <c r="D73" s="8"/>
      <c r="E73" s="8"/>
      <c r="F73" s="8"/>
      <c r="G73" s="8"/>
      <c r="H73" s="15"/>
      <c r="K73" s="8"/>
      <c r="L73" s="8"/>
      <c r="M73" s="8"/>
      <c r="N73" s="8"/>
      <c r="O73" s="8"/>
      <c r="P73" s="8"/>
    </row>
    <row r="74" spans="2:16" s="14" customFormat="1" ht="19.5" customHeight="1">
      <c r="B74" s="8"/>
      <c r="C74" s="8"/>
      <c r="D74" s="8"/>
      <c r="E74" s="8"/>
      <c r="F74" s="8"/>
      <c r="G74" s="8"/>
      <c r="H74" s="15"/>
      <c r="K74" s="8"/>
      <c r="L74" s="8"/>
      <c r="M74" s="8"/>
      <c r="N74" s="8"/>
      <c r="O74" s="8"/>
      <c r="P74" s="8"/>
    </row>
    <row r="75" spans="2:16" s="14" customFormat="1" ht="19.5" customHeight="1">
      <c r="B75" s="8"/>
      <c r="C75" s="8"/>
      <c r="D75" s="8"/>
      <c r="E75" s="8"/>
      <c r="F75" s="8"/>
      <c r="G75" s="8"/>
      <c r="H75" s="15"/>
      <c r="K75" s="8"/>
      <c r="L75" s="8"/>
      <c r="M75" s="8"/>
      <c r="N75" s="8"/>
      <c r="O75" s="8"/>
      <c r="P75" s="8"/>
    </row>
    <row r="76" spans="2:16" s="14" customFormat="1" ht="19.5" customHeight="1">
      <c r="B76" s="8"/>
      <c r="C76" s="8"/>
      <c r="D76" s="8"/>
      <c r="E76" s="8"/>
      <c r="F76" s="8"/>
      <c r="G76" s="8"/>
      <c r="H76" s="15"/>
      <c r="K76" s="8"/>
      <c r="L76" s="8"/>
      <c r="M76" s="8"/>
      <c r="N76" s="8"/>
      <c r="O76" s="8"/>
      <c r="P76" s="8"/>
    </row>
    <row r="77" spans="2:16" s="14" customFormat="1" ht="19.5" customHeight="1">
      <c r="B77" s="8"/>
      <c r="C77" s="8"/>
      <c r="D77" s="8"/>
      <c r="E77" s="8"/>
      <c r="F77" s="8"/>
      <c r="G77" s="8"/>
      <c r="H77" s="15"/>
      <c r="K77" s="8"/>
      <c r="L77" s="8"/>
      <c r="M77" s="8"/>
      <c r="N77" s="8"/>
      <c r="O77" s="8"/>
      <c r="P77" s="8"/>
    </row>
    <row r="78" spans="2:16" s="14" customFormat="1" ht="19.5" customHeight="1">
      <c r="B78" s="8"/>
      <c r="C78" s="8"/>
      <c r="D78" s="8"/>
      <c r="E78" s="8"/>
      <c r="F78" s="8"/>
      <c r="G78" s="8"/>
      <c r="H78" s="15"/>
      <c r="K78" s="8"/>
      <c r="L78" s="8"/>
      <c r="M78" s="8"/>
      <c r="N78" s="8"/>
      <c r="O78" s="8"/>
      <c r="P78" s="8"/>
    </row>
    <row r="79" spans="2:16" s="14" customFormat="1" ht="19.5" customHeight="1">
      <c r="B79" s="8"/>
      <c r="C79" s="8"/>
      <c r="D79" s="8"/>
      <c r="E79" s="8"/>
      <c r="F79" s="8"/>
      <c r="G79" s="8"/>
      <c r="H79" s="15"/>
      <c r="K79" s="8"/>
      <c r="L79" s="8"/>
      <c r="M79" s="8"/>
      <c r="N79" s="8"/>
      <c r="O79" s="8"/>
      <c r="P79" s="8"/>
    </row>
    <row r="80" spans="2:16" s="14" customFormat="1" ht="19.5" customHeight="1">
      <c r="B80" s="8"/>
      <c r="C80" s="8"/>
      <c r="D80" s="8"/>
      <c r="E80" s="8"/>
      <c r="F80" s="8"/>
      <c r="G80" s="8"/>
      <c r="H80" s="15"/>
      <c r="K80" s="8"/>
      <c r="L80" s="8"/>
      <c r="M80" s="8"/>
      <c r="N80" s="8"/>
      <c r="O80" s="8"/>
      <c r="P80" s="8"/>
    </row>
    <row r="81" spans="2:16" s="14" customFormat="1" ht="19.5" customHeight="1">
      <c r="B81" s="8"/>
      <c r="C81" s="8"/>
      <c r="D81" s="8"/>
      <c r="E81" s="8"/>
      <c r="F81" s="8"/>
      <c r="G81" s="8"/>
      <c r="H81" s="15"/>
      <c r="K81" s="8"/>
      <c r="L81" s="8"/>
      <c r="M81" s="8"/>
      <c r="N81" s="8"/>
      <c r="O81" s="8"/>
      <c r="P81" s="8"/>
    </row>
    <row r="82" spans="2:16" s="14" customFormat="1" ht="19.5" customHeight="1">
      <c r="B82" s="8"/>
      <c r="C82" s="8"/>
      <c r="D82" s="8"/>
      <c r="E82" s="8"/>
      <c r="F82" s="8"/>
      <c r="G82" s="8"/>
      <c r="H82" s="15"/>
      <c r="K82" s="8"/>
      <c r="L82" s="8"/>
      <c r="M82" s="8"/>
      <c r="N82" s="8"/>
      <c r="O82" s="8"/>
      <c r="P82" s="8"/>
    </row>
    <row r="83" spans="2:16" s="14" customFormat="1" ht="19.5" customHeight="1">
      <c r="B83" s="8"/>
      <c r="C83" s="8"/>
      <c r="D83" s="8"/>
      <c r="E83" s="8"/>
      <c r="F83" s="8"/>
      <c r="G83" s="8"/>
      <c r="H83" s="15"/>
      <c r="K83" s="8"/>
      <c r="L83" s="8"/>
      <c r="M83" s="8"/>
      <c r="N83" s="8"/>
      <c r="O83" s="8"/>
      <c r="P83" s="8"/>
    </row>
    <row r="84" spans="2:16" s="14" customFormat="1" ht="19.5" customHeight="1">
      <c r="B84" s="8"/>
      <c r="C84" s="8"/>
      <c r="D84" s="8"/>
      <c r="E84" s="8"/>
      <c r="F84" s="8"/>
      <c r="G84" s="8"/>
      <c r="H84" s="15"/>
      <c r="K84" s="8"/>
      <c r="L84" s="8"/>
      <c r="M84" s="8"/>
      <c r="N84" s="8"/>
      <c r="O84" s="8"/>
      <c r="P84" s="8"/>
    </row>
    <row r="85" spans="2:16" s="14" customFormat="1" ht="19.5" customHeight="1">
      <c r="B85" s="8"/>
      <c r="C85" s="8"/>
      <c r="D85" s="8"/>
      <c r="E85" s="8"/>
      <c r="F85" s="8"/>
      <c r="G85" s="8"/>
      <c r="H85" s="15"/>
      <c r="K85" s="8"/>
      <c r="L85" s="8"/>
      <c r="M85" s="8"/>
      <c r="N85" s="8"/>
      <c r="O85" s="8"/>
      <c r="P85" s="8"/>
    </row>
    <row r="86" spans="2:16" s="14" customFormat="1" ht="19.5" customHeight="1">
      <c r="B86" s="8"/>
      <c r="C86" s="8"/>
      <c r="D86" s="8"/>
      <c r="E86" s="8"/>
      <c r="F86" s="8"/>
      <c r="G86" s="8"/>
      <c r="H86" s="15"/>
      <c r="K86" s="8"/>
      <c r="L86" s="8"/>
      <c r="M86" s="8"/>
      <c r="N86" s="8"/>
      <c r="O86" s="8"/>
      <c r="P86" s="8"/>
    </row>
    <row r="87" spans="2:16" s="14" customFormat="1" ht="19.5" customHeight="1">
      <c r="B87" s="8"/>
      <c r="C87" s="8"/>
      <c r="D87" s="8"/>
      <c r="E87" s="8"/>
      <c r="F87" s="8"/>
      <c r="G87" s="8"/>
      <c r="H87" s="15"/>
      <c r="K87" s="8"/>
      <c r="L87" s="8"/>
      <c r="M87" s="8"/>
      <c r="N87" s="8"/>
      <c r="O87" s="8"/>
      <c r="P87" s="8"/>
    </row>
    <row r="88" spans="2:16" s="14" customFormat="1" ht="19.5" customHeight="1">
      <c r="B88" s="8"/>
      <c r="C88" s="8"/>
      <c r="D88" s="8"/>
      <c r="E88" s="8"/>
      <c r="F88" s="8"/>
      <c r="G88" s="8"/>
      <c r="H88" s="15"/>
      <c r="K88" s="8"/>
      <c r="L88" s="8"/>
      <c r="M88" s="8"/>
      <c r="N88" s="8"/>
      <c r="O88" s="8"/>
      <c r="P88" s="8"/>
    </row>
    <row r="89" spans="2:16" s="14" customFormat="1" ht="19.5" customHeight="1">
      <c r="B89" s="8"/>
      <c r="C89" s="8"/>
      <c r="D89" s="8"/>
      <c r="E89" s="8"/>
      <c r="F89" s="8"/>
      <c r="G89" s="8"/>
      <c r="H89" s="15"/>
      <c r="K89" s="8"/>
      <c r="L89" s="8"/>
      <c r="M89" s="8"/>
      <c r="N89" s="8"/>
      <c r="O89" s="8"/>
      <c r="P89" s="8"/>
    </row>
    <row r="90" spans="2:16" s="14" customFormat="1" ht="19.5" customHeight="1">
      <c r="B90" s="8"/>
      <c r="C90" s="8"/>
      <c r="D90" s="8"/>
      <c r="E90" s="8"/>
      <c r="F90" s="8"/>
      <c r="G90" s="8"/>
      <c r="H90" s="15"/>
      <c r="K90" s="8"/>
      <c r="L90" s="8"/>
      <c r="M90" s="8"/>
      <c r="N90" s="8"/>
      <c r="O90" s="8"/>
      <c r="P90" s="8"/>
    </row>
    <row r="91" spans="2:16" s="14" customFormat="1" ht="19.5" customHeight="1">
      <c r="B91" s="8"/>
      <c r="C91" s="8"/>
      <c r="D91" s="8"/>
      <c r="E91" s="8"/>
      <c r="F91" s="8"/>
      <c r="G91" s="8"/>
      <c r="H91" s="15"/>
      <c r="K91" s="8"/>
      <c r="L91" s="8"/>
      <c r="M91" s="8"/>
      <c r="N91" s="8"/>
      <c r="O91" s="8"/>
      <c r="P91" s="8"/>
    </row>
    <row r="92" spans="2:16" s="14" customFormat="1" ht="19.5" customHeight="1">
      <c r="B92" s="8"/>
      <c r="C92" s="8"/>
      <c r="D92" s="8"/>
      <c r="E92" s="8"/>
      <c r="F92" s="8"/>
      <c r="G92" s="8"/>
      <c r="H92" s="15"/>
      <c r="K92" s="8"/>
      <c r="L92" s="8"/>
      <c r="M92" s="8"/>
      <c r="N92" s="8"/>
      <c r="O92" s="8"/>
      <c r="P92" s="8"/>
    </row>
    <row r="93" spans="2:16" s="14" customFormat="1" ht="19.5" customHeight="1">
      <c r="B93" s="8"/>
      <c r="C93" s="8"/>
      <c r="D93" s="8"/>
      <c r="E93" s="8"/>
      <c r="F93" s="8"/>
      <c r="G93" s="8"/>
      <c r="H93" s="15"/>
      <c r="K93" s="8"/>
      <c r="L93" s="8"/>
      <c r="M93" s="8"/>
      <c r="N93" s="8"/>
      <c r="O93" s="8"/>
      <c r="P93" s="8"/>
    </row>
    <row r="94" spans="2:16" s="14" customFormat="1" ht="19.5" customHeight="1">
      <c r="B94" s="8"/>
      <c r="C94" s="8"/>
      <c r="D94" s="8"/>
      <c r="E94" s="8"/>
      <c r="F94" s="8"/>
      <c r="G94" s="8"/>
      <c r="H94" s="15"/>
      <c r="K94" s="8"/>
      <c r="L94" s="8"/>
      <c r="M94" s="8"/>
      <c r="N94" s="8"/>
      <c r="O94" s="8"/>
      <c r="P94" s="8"/>
    </row>
  </sheetData>
  <sheetProtection password="C811" sheet="1" selectLockedCells="1"/>
  <mergeCells count="3">
    <mergeCell ref="B6:E6"/>
    <mergeCell ref="F6:I6"/>
    <mergeCell ref="B16:I16"/>
  </mergeCells>
  <printOptions horizontalCentered="1"/>
  <pageMargins left="0.6299212598425197" right="0.2755905511811024" top="0.5118110236220472" bottom="0.2755905511811024" header="0.5118110236220472" footer="0.3937007874015748"/>
  <pageSetup cellComments="asDisplayed" fitToHeight="1" fitToWidth="1" horizontalDpi="600" verticalDpi="600" orientation="portrait" paperSize="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2:AS996"/>
  <sheetViews>
    <sheetView showGridLines="0" showRowColHeaders="0" zoomScalePageLayoutView="0" workbookViewId="0" topLeftCell="A3">
      <selection activeCell="G33" sqref="G33"/>
    </sheetView>
  </sheetViews>
  <sheetFormatPr defaultColWidth="11.421875" defaultRowHeight="19.5" customHeight="1"/>
  <cols>
    <col min="1" max="1" width="2.57421875" style="8" customWidth="1"/>
    <col min="2" max="2" width="40.7109375" style="8" customWidth="1"/>
    <col min="3" max="3" width="14.421875" style="8" customWidth="1"/>
    <col min="4" max="4" width="9.00390625" style="8" customWidth="1"/>
    <col min="5" max="5" width="10.8515625" style="8" customWidth="1"/>
    <col min="6" max="6" width="4.7109375" style="8" customWidth="1"/>
    <col min="7" max="7" width="10.140625" style="8" customWidth="1"/>
    <col min="8" max="8" width="4.7109375" style="8" customWidth="1"/>
    <col min="9" max="9" width="11.140625" style="8" customWidth="1"/>
    <col min="10" max="10" width="4.7109375" style="8" customWidth="1"/>
    <col min="11" max="11" width="11.00390625" style="14" customWidth="1"/>
    <col min="12" max="12" width="5.28125" style="14" customWidth="1"/>
    <col min="13" max="13" width="11.421875" style="8" customWidth="1"/>
    <col min="14" max="14" width="18.57421875" style="8" customWidth="1"/>
    <col min="15" max="21" width="11.421875" style="8" customWidth="1"/>
    <col min="22" max="22" width="14.7109375" style="8" customWidth="1"/>
    <col min="23" max="16384" width="11.421875" style="8" customWidth="1"/>
  </cols>
  <sheetData>
    <row r="1" ht="19.5" customHeight="1" hidden="1"/>
    <row r="2" spans="2:5" s="7" customFormat="1" ht="19.5" customHeight="1" hidden="1">
      <c r="B2" s="6" t="s">
        <v>6</v>
      </c>
      <c r="C2" s="6"/>
      <c r="D2" s="6"/>
      <c r="E2" s="6"/>
    </row>
    <row r="3" spans="2:5" s="7" customFormat="1" ht="12" customHeight="1">
      <c r="B3" s="6"/>
      <c r="C3" s="6"/>
      <c r="D3" s="6"/>
      <c r="E3" s="6"/>
    </row>
    <row r="4" spans="2:14" s="7" customFormat="1" ht="19.5" customHeight="1">
      <c r="B4" s="270" t="s">
        <v>294</v>
      </c>
      <c r="C4" s="270"/>
      <c r="D4" s="390"/>
      <c r="E4" s="390"/>
      <c r="F4" s="391"/>
      <c r="G4" s="391"/>
      <c r="H4" s="391"/>
      <c r="I4" s="391"/>
      <c r="J4" s="391"/>
      <c r="K4" s="391"/>
      <c r="L4" s="391"/>
      <c r="M4" s="65"/>
      <c r="N4" s="65"/>
    </row>
    <row r="5" spans="2:14" s="7" customFormat="1" ht="4.5" customHeight="1">
      <c r="B5" s="72"/>
      <c r="C5" s="72"/>
      <c r="D5" s="390"/>
      <c r="E5" s="390"/>
      <c r="F5" s="391"/>
      <c r="G5" s="391"/>
      <c r="H5" s="391"/>
      <c r="I5" s="391"/>
      <c r="J5" s="391"/>
      <c r="K5" s="391"/>
      <c r="L5" s="391"/>
      <c r="M5" s="391"/>
      <c r="N5" s="65"/>
    </row>
    <row r="6" spans="2:19" ht="19.5" customHeight="1">
      <c r="B6" s="596" t="s">
        <v>4</v>
      </c>
      <c r="C6" s="596"/>
      <c r="D6" s="596"/>
      <c r="E6" s="596"/>
      <c r="F6" s="596"/>
      <c r="G6" s="596"/>
      <c r="H6" s="597"/>
      <c r="I6" s="597"/>
      <c r="J6" s="597"/>
      <c r="K6" s="597"/>
      <c r="L6" s="368"/>
      <c r="M6" s="84"/>
      <c r="N6" s="62"/>
      <c r="R6" s="21"/>
      <c r="S6" s="15"/>
    </row>
    <row r="7" spans="2:19" ht="4.5" customHeight="1">
      <c r="B7" s="475"/>
      <c r="C7" s="475"/>
      <c r="D7" s="475"/>
      <c r="E7" s="475"/>
      <c r="F7" s="475"/>
      <c r="G7" s="475"/>
      <c r="H7" s="476"/>
      <c r="I7" s="476"/>
      <c r="J7" s="476"/>
      <c r="K7" s="476"/>
      <c r="L7" s="368"/>
      <c r="M7" s="84"/>
      <c r="N7" s="62"/>
      <c r="R7" s="21"/>
      <c r="S7" s="15"/>
    </row>
    <row r="8" spans="2:19" ht="4.5" customHeight="1">
      <c r="B8" s="367"/>
      <c r="C8" s="367"/>
      <c r="D8" s="475"/>
      <c r="E8" s="475"/>
      <c r="F8" s="207">
        <v>0.3340277777777778</v>
      </c>
      <c r="G8" s="208">
        <f>F8</f>
        <v>0.3340277777777778</v>
      </c>
      <c r="H8" s="204"/>
      <c r="I8" s="205"/>
      <c r="J8" s="209"/>
      <c r="K8" s="210"/>
      <c r="L8" s="392"/>
      <c r="M8" s="134"/>
      <c r="N8" s="206"/>
      <c r="O8" s="32"/>
      <c r="R8" s="21"/>
      <c r="S8" s="15"/>
    </row>
    <row r="9" spans="2:19" ht="19.5" customHeight="1" hidden="1">
      <c r="B9" s="367" t="s">
        <v>59</v>
      </c>
      <c r="C9" s="367"/>
      <c r="D9" s="475"/>
      <c r="E9" s="475"/>
      <c r="F9" s="212">
        <f>Reisedaten!O10</f>
        <v>0</v>
      </c>
      <c r="G9" s="213">
        <f>F9</f>
        <v>0</v>
      </c>
      <c r="H9" s="203">
        <f>IF(OR(G9&gt;G8,G9=G8),1,0)</f>
        <v>0</v>
      </c>
      <c r="I9" s="214"/>
      <c r="J9" s="281"/>
      <c r="K9" s="214"/>
      <c r="L9" s="392"/>
      <c r="M9" s="393"/>
      <c r="N9" s="216">
        <f>Reisedaten!U26</f>
        <v>0</v>
      </c>
      <c r="O9" s="35"/>
      <c r="R9" s="21"/>
      <c r="S9" s="15"/>
    </row>
    <row r="10" spans="2:19" ht="4.5" customHeight="1">
      <c r="B10" s="394"/>
      <c r="C10" s="394"/>
      <c r="D10" s="477"/>
      <c r="E10" s="477"/>
      <c r="F10" s="395"/>
      <c r="G10" s="395"/>
      <c r="H10" s="396"/>
      <c r="I10" s="396"/>
      <c r="J10" s="397"/>
      <c r="K10" s="396"/>
      <c r="L10" s="398"/>
      <c r="M10" s="398"/>
      <c r="N10" s="206">
        <f>IF(ISERROR(N9)="FALSCH",0,N9)</f>
        <v>0</v>
      </c>
      <c r="O10" s="32"/>
      <c r="R10" s="21"/>
      <c r="S10" s="15"/>
    </row>
    <row r="11" spans="2:19" ht="19.5" customHeight="1">
      <c r="B11" s="394" t="s">
        <v>408</v>
      </c>
      <c r="C11" s="399">
        <f>IF(Reisedaten!$O$6=1,0,Reisedaten!$O$6)</f>
        <v>2</v>
      </c>
      <c r="D11" s="477"/>
      <c r="E11" s="477"/>
      <c r="F11" s="402">
        <f>IF(Reisedaten!$O$6=1,0,Reisedaten!$O$6)</f>
        <v>2</v>
      </c>
      <c r="G11" s="400"/>
      <c r="H11" s="396"/>
      <c r="I11" s="396"/>
      <c r="J11" s="397"/>
      <c r="K11" s="401"/>
      <c r="L11" s="398"/>
      <c r="M11" s="398"/>
      <c r="N11" s="206"/>
      <c r="O11" s="32"/>
      <c r="R11" s="21"/>
      <c r="S11" s="15"/>
    </row>
    <row r="12" spans="2:19" ht="4.5" customHeight="1">
      <c r="B12" s="196"/>
      <c r="C12" s="196"/>
      <c r="D12" s="196"/>
      <c r="E12" s="196"/>
      <c r="F12" s="223"/>
      <c r="G12" s="224"/>
      <c r="H12" s="225"/>
      <c r="I12" s="226"/>
      <c r="J12" s="227"/>
      <c r="K12" s="196"/>
      <c r="L12" s="392"/>
      <c r="M12" s="84"/>
      <c r="N12" s="206"/>
      <c r="O12" s="32"/>
      <c r="R12" s="21"/>
      <c r="S12" s="15"/>
    </row>
    <row r="13" spans="2:19" ht="19.5" customHeight="1" hidden="1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368"/>
      <c r="M13" s="84"/>
      <c r="N13" s="206"/>
      <c r="O13" s="32"/>
      <c r="R13" s="21"/>
      <c r="S13" s="15"/>
    </row>
    <row r="14" spans="2:19" ht="4.5" customHeight="1" hidden="1"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368"/>
      <c r="M14" s="84"/>
      <c r="N14" s="206"/>
      <c r="O14" s="32"/>
      <c r="R14" s="21"/>
      <c r="S14" s="15"/>
    </row>
    <row r="15" spans="2:19" ht="4.5" customHeight="1" hidden="1">
      <c r="B15" s="475"/>
      <c r="C15" s="475"/>
      <c r="D15" s="475"/>
      <c r="E15" s="475"/>
      <c r="F15" s="475"/>
      <c r="G15" s="475"/>
      <c r="H15" s="475"/>
      <c r="I15" s="475"/>
      <c r="J15" s="475"/>
      <c r="K15" s="475"/>
      <c r="L15" s="368"/>
      <c r="M15" s="84"/>
      <c r="N15" s="206"/>
      <c r="O15" s="32"/>
      <c r="R15" s="21"/>
      <c r="S15" s="15"/>
    </row>
    <row r="16" spans="2:19" ht="4.5" customHeight="1" hidden="1">
      <c r="B16" s="475"/>
      <c r="C16" s="475"/>
      <c r="D16" s="475"/>
      <c r="E16" s="475"/>
      <c r="F16" s="475"/>
      <c r="G16" s="475"/>
      <c r="H16" s="475"/>
      <c r="I16" s="475"/>
      <c r="J16" s="475"/>
      <c r="K16" s="475"/>
      <c r="L16" s="368"/>
      <c r="M16" s="84"/>
      <c r="N16" s="206"/>
      <c r="O16" s="32"/>
      <c r="R16" s="21"/>
      <c r="S16" s="15"/>
    </row>
    <row r="17" spans="2:22" ht="19.5" customHeight="1">
      <c r="B17" s="84"/>
      <c r="C17" s="84"/>
      <c r="D17" s="84"/>
      <c r="E17" s="84"/>
      <c r="G17" s="84"/>
      <c r="H17" s="84"/>
      <c r="I17" s="84"/>
      <c r="J17" s="84"/>
      <c r="K17" s="82"/>
      <c r="L17" s="63"/>
      <c r="M17" s="62"/>
      <c r="N17" s="62"/>
      <c r="Q17" s="20"/>
      <c r="R17" s="23"/>
      <c r="S17" s="513"/>
      <c r="T17" s="20"/>
      <c r="U17" s="20"/>
      <c r="V17" s="20"/>
    </row>
    <row r="18" spans="2:22" ht="19.5" customHeight="1">
      <c r="B18" s="62"/>
      <c r="C18" s="62"/>
      <c r="D18" s="62"/>
      <c r="E18" s="62"/>
      <c r="F18" s="373"/>
      <c r="G18" s="374"/>
      <c r="H18" s="382" t="s">
        <v>297</v>
      </c>
      <c r="I18" s="374"/>
      <c r="J18" s="374"/>
      <c r="K18" s="375"/>
      <c r="L18" s="376"/>
      <c r="M18" s="387"/>
      <c r="N18" s="387"/>
      <c r="O18" s="59"/>
      <c r="P18" s="59"/>
      <c r="Q18" s="59"/>
      <c r="R18" s="517"/>
      <c r="S18" s="518"/>
      <c r="T18" s="20"/>
      <c r="U18" s="20"/>
      <c r="V18" s="20"/>
    </row>
    <row r="19" spans="2:22" ht="19.5" customHeight="1">
      <c r="B19" s="409" t="s">
        <v>301</v>
      </c>
      <c r="C19" s="62"/>
      <c r="D19" s="62"/>
      <c r="E19" s="62"/>
      <c r="F19" s="377"/>
      <c r="G19" s="9"/>
      <c r="H19" s="9"/>
      <c r="I19" s="12"/>
      <c r="J19" s="9"/>
      <c r="K19" s="30"/>
      <c r="L19" s="378"/>
      <c r="M19" s="387"/>
      <c r="N19" s="387"/>
      <c r="O19" s="32"/>
      <c r="P19" s="32"/>
      <c r="Q19" s="32"/>
      <c r="R19" s="504"/>
      <c r="S19" s="505"/>
      <c r="T19" s="32"/>
      <c r="U19" s="35"/>
      <c r="V19" s="20"/>
    </row>
    <row r="20" spans="2:22" ht="19.5" customHeight="1">
      <c r="B20" s="62"/>
      <c r="C20" s="62"/>
      <c r="D20" s="62"/>
      <c r="E20" s="62"/>
      <c r="F20" s="377"/>
      <c r="G20" s="369" t="s">
        <v>286</v>
      </c>
      <c r="H20" s="369"/>
      <c r="I20" s="369" t="s">
        <v>295</v>
      </c>
      <c r="J20" s="369"/>
      <c r="K20" s="369" t="s">
        <v>296</v>
      </c>
      <c r="L20" s="378"/>
      <c r="M20" s="387"/>
      <c r="N20" s="387"/>
      <c r="O20" s="32"/>
      <c r="P20" s="32" t="s">
        <v>284</v>
      </c>
      <c r="Q20" s="32"/>
      <c r="R20" s="504" t="s">
        <v>289</v>
      </c>
      <c r="S20" s="505"/>
      <c r="T20" s="35"/>
      <c r="U20" s="35"/>
      <c r="V20" s="20"/>
    </row>
    <row r="21" spans="1:22" ht="19.5" customHeight="1">
      <c r="A21" s="59"/>
      <c r="B21" s="409" t="s">
        <v>292</v>
      </c>
      <c r="D21" s="344"/>
      <c r="E21" s="511">
        <v>1</v>
      </c>
      <c r="F21" s="379"/>
      <c r="G21" s="450"/>
      <c r="H21" s="9"/>
      <c r="I21" s="450"/>
      <c r="J21" s="9"/>
      <c r="K21" s="450"/>
      <c r="L21" s="380"/>
      <c r="M21" s="388"/>
      <c r="N21" s="388"/>
      <c r="O21" s="32"/>
      <c r="P21" s="506">
        <f>G41</f>
        <v>0</v>
      </c>
      <c r="Q21" s="32"/>
      <c r="R21" s="506">
        <f>IF(P21&lt;G21*E41*0.2+I21*E41*0.4+K21*E41*0.4,P21,G21*E41*0.2+I21*E41*0.4+K21*E41*0.4)</f>
        <v>0</v>
      </c>
      <c r="S21" s="32"/>
      <c r="T21" s="35"/>
      <c r="U21" s="35"/>
      <c r="V21" s="20"/>
    </row>
    <row r="22" spans="1:22" ht="19.5" customHeight="1">
      <c r="A22" s="59"/>
      <c r="E22" s="62"/>
      <c r="F22" s="379"/>
      <c r="G22" s="9"/>
      <c r="H22" s="9"/>
      <c r="I22" s="9"/>
      <c r="J22" s="9"/>
      <c r="K22" s="30"/>
      <c r="L22" s="380"/>
      <c r="M22" s="389"/>
      <c r="N22" s="389"/>
      <c r="O22" s="32"/>
      <c r="P22" s="32"/>
      <c r="Q22" s="32"/>
      <c r="R22" s="32"/>
      <c r="S22" s="32"/>
      <c r="T22" s="35"/>
      <c r="U22" s="35"/>
      <c r="V22" s="20"/>
    </row>
    <row r="23" spans="1:22" ht="19.5" customHeight="1" hidden="1">
      <c r="A23" s="59">
        <v>2</v>
      </c>
      <c r="B23" s="481"/>
      <c r="C23" s="481" t="s">
        <v>282</v>
      </c>
      <c r="D23" s="482"/>
      <c r="E23" s="480"/>
      <c r="F23" s="483"/>
      <c r="G23" s="482"/>
      <c r="H23" s="484"/>
      <c r="I23" s="482"/>
      <c r="J23" s="484"/>
      <c r="K23" s="482"/>
      <c r="L23" s="485"/>
      <c r="M23" s="486"/>
      <c r="N23" s="486"/>
      <c r="O23" s="32">
        <v>2</v>
      </c>
      <c r="P23" s="503">
        <f>IF(D23=0,0,(D23-1)*E41+G41)</f>
        <v>0</v>
      </c>
      <c r="Q23" s="32"/>
      <c r="R23" s="506">
        <f>+G23*E41*0.2+I23*E41*0.4+K23*E41*0.4</f>
        <v>0</v>
      </c>
      <c r="S23" s="506"/>
      <c r="T23" s="35"/>
      <c r="U23" s="35"/>
      <c r="V23" s="20"/>
    </row>
    <row r="24" spans="1:22" ht="19.5" customHeight="1" hidden="1">
      <c r="A24" s="59"/>
      <c r="B24" s="20" t="str">
        <f>IF(E41=0,"Bitte konkretesieren Sie Ihre Angabe!","")</f>
        <v>Bitte konkretesieren Sie Ihre Angabe!</v>
      </c>
      <c r="D24" s="349"/>
      <c r="E24" s="62"/>
      <c r="F24" s="381"/>
      <c r="G24" s="371"/>
      <c r="H24" s="370"/>
      <c r="I24" s="370"/>
      <c r="J24" s="370"/>
      <c r="K24" s="372"/>
      <c r="L24" s="378"/>
      <c r="M24" s="389"/>
      <c r="N24" s="389"/>
      <c r="O24" s="32"/>
      <c r="P24" s="32"/>
      <c r="Q24" s="32"/>
      <c r="R24" s="32">
        <f>IF(0.2*G24*E42+I24*0.4*E42+0.4+K24*0.4*E42&gt;P24,0,0.2*G24*E42+I24*0.4*E42+0.4+K24*0.4*E42)</f>
        <v>0</v>
      </c>
      <c r="S24" s="506"/>
      <c r="T24" s="35"/>
      <c r="U24" s="35"/>
      <c r="V24" s="20"/>
    </row>
    <row r="25" spans="1:22" ht="19.5" customHeight="1">
      <c r="A25" s="449">
        <v>1</v>
      </c>
      <c r="C25" s="495" t="s">
        <v>430</v>
      </c>
      <c r="D25" s="450"/>
      <c r="E25" s="62"/>
      <c r="F25" s="381"/>
      <c r="G25" s="450"/>
      <c r="H25" s="370"/>
      <c r="I25" s="450"/>
      <c r="J25" s="370"/>
      <c r="K25" s="450"/>
      <c r="L25" s="378"/>
      <c r="M25" s="389"/>
      <c r="N25" s="389"/>
      <c r="O25" s="32">
        <v>17</v>
      </c>
      <c r="P25" s="503">
        <f>IF(D25=0,0,IF(P27&gt;0,D25*E43,E43*D25))</f>
        <v>0</v>
      </c>
      <c r="Q25" s="32"/>
      <c r="R25" s="506">
        <f>+G25*E43*0.2+I25*E43*0.4+K25*E43*0.4</f>
        <v>0</v>
      </c>
      <c r="S25" s="506"/>
      <c r="T25" s="35"/>
      <c r="U25" s="35"/>
      <c r="V25" s="20"/>
    </row>
    <row r="26" spans="1:22" ht="19.5" customHeight="1">
      <c r="A26" s="59"/>
      <c r="B26" s="20" t="str">
        <f>IF(E43=0,"Bitte konkretisieren Sie Ihre Angabe!","")</f>
        <v>Bitte konkretisieren Sie Ihre Angabe!</v>
      </c>
      <c r="D26" s="349"/>
      <c r="E26" s="62"/>
      <c r="F26" s="381"/>
      <c r="G26" s="370"/>
      <c r="H26" s="370"/>
      <c r="I26" s="370"/>
      <c r="J26" s="370"/>
      <c r="K26" s="370"/>
      <c r="L26" s="378"/>
      <c r="M26" s="389"/>
      <c r="N26" s="389"/>
      <c r="O26" s="32"/>
      <c r="P26" s="503"/>
      <c r="Q26" s="32"/>
      <c r="R26" s="32">
        <f>IF(0.2*G26*E44+I26*0.4*E44+0.4+K26*0.4*E44&gt;P26,0,0.2*G26*E44+I26*0.4*E44+0.4+K26*0.4*E44)</f>
        <v>0</v>
      </c>
      <c r="S26" s="506"/>
      <c r="T26" s="35"/>
      <c r="U26" s="35"/>
      <c r="V26" s="20"/>
    </row>
    <row r="27" spans="1:22" ht="19.5" customHeight="1">
      <c r="A27" s="449">
        <v>1</v>
      </c>
      <c r="C27" s="495" t="s">
        <v>430</v>
      </c>
      <c r="D27" s="450"/>
      <c r="E27" s="62"/>
      <c r="F27" s="381"/>
      <c r="G27" s="450"/>
      <c r="H27" s="370"/>
      <c r="I27" s="450"/>
      <c r="J27" s="370"/>
      <c r="K27" s="450"/>
      <c r="L27" s="378"/>
      <c r="M27" s="389"/>
      <c r="N27" s="389"/>
      <c r="O27" s="32"/>
      <c r="P27" s="503">
        <f>IF(D27&gt;0,IF(D29&gt;0,D27*E45,E45*D27),0)</f>
        <v>0</v>
      </c>
      <c r="Q27" s="32"/>
      <c r="R27" s="506">
        <f>+G27*E45*0.2+I27*E45*0.4+K27*E45*0.4</f>
        <v>0</v>
      </c>
      <c r="S27" s="506"/>
      <c r="T27" s="35"/>
      <c r="U27" s="35"/>
      <c r="V27" s="20"/>
    </row>
    <row r="28" spans="1:22" ht="19.5" customHeight="1">
      <c r="A28" s="59"/>
      <c r="B28" s="20">
        <f>IF(A27=1,"",IF(E45=0,"Bitte konkretesieren Sie Ihre Angabe!",""))</f>
      </c>
      <c r="D28" s="349"/>
      <c r="E28" s="62"/>
      <c r="F28" s="381"/>
      <c r="G28" s="370"/>
      <c r="H28" s="370"/>
      <c r="I28" s="370"/>
      <c r="J28" s="370"/>
      <c r="K28" s="370"/>
      <c r="L28" s="378"/>
      <c r="M28" s="389"/>
      <c r="N28" s="389"/>
      <c r="O28" s="32"/>
      <c r="P28" s="503"/>
      <c r="Q28" s="32"/>
      <c r="R28" s="32">
        <f>IF(0.2*G28*E46+I28*0.4*E46+0.4+K28*0.4*E46&gt;P28,0,0.2*G28*E46+I28*0.4*E46+0.4+K28*0.4*E46)</f>
        <v>0</v>
      </c>
      <c r="S28" s="506"/>
      <c r="T28" s="35"/>
      <c r="U28" s="35"/>
      <c r="V28" s="20"/>
    </row>
    <row r="29" spans="1:22" ht="19.5" customHeight="1">
      <c r="A29" s="449">
        <v>1</v>
      </c>
      <c r="C29" s="495" t="s">
        <v>430</v>
      </c>
      <c r="D29" s="450"/>
      <c r="E29" s="62"/>
      <c r="F29" s="381"/>
      <c r="G29" s="450"/>
      <c r="H29" s="370"/>
      <c r="I29" s="450"/>
      <c r="J29" s="370"/>
      <c r="K29" s="450"/>
      <c r="L29" s="378"/>
      <c r="M29" s="389"/>
      <c r="N29" s="389"/>
      <c r="O29" s="32">
        <v>6</v>
      </c>
      <c r="P29" s="503">
        <f>IF(D29&gt;0,IF(D31&gt;0,D29*E47,E47*(D29-1)+G47),0)</f>
        <v>0</v>
      </c>
      <c r="Q29" s="32"/>
      <c r="R29" s="503">
        <f>+G29*E47*0.2+I29*E47*0.4+K29*E47*0.4</f>
        <v>0</v>
      </c>
      <c r="S29" s="506"/>
      <c r="T29" s="35"/>
      <c r="U29" s="35"/>
      <c r="V29" s="20"/>
    </row>
    <row r="30" spans="1:22" ht="19.5" customHeight="1">
      <c r="A30" s="59"/>
      <c r="B30" s="20">
        <f>IF(A29=1,"",IF(E47=0,"Bitte konkretesieren Sie Ihre Angabe!",""))</f>
      </c>
      <c r="D30" s="349"/>
      <c r="E30" s="62"/>
      <c r="F30" s="381"/>
      <c r="G30" s="370"/>
      <c r="H30" s="370"/>
      <c r="I30" s="370"/>
      <c r="J30" s="370"/>
      <c r="K30" s="370"/>
      <c r="L30" s="378"/>
      <c r="M30" s="389"/>
      <c r="N30" s="389"/>
      <c r="O30" s="32"/>
      <c r="P30" s="503"/>
      <c r="Q30" s="32"/>
      <c r="R30" s="32">
        <f>IF(0.2*G30*E48+I30*0.4*E48+0.4+K30*0.4*E48&gt;P30,0,0.2*G30*E48+I30*0.4*E48+0.4+K30*0.4*E48)</f>
        <v>0</v>
      </c>
      <c r="S30" s="506"/>
      <c r="T30" s="35"/>
      <c r="U30" s="35"/>
      <c r="V30" s="20"/>
    </row>
    <row r="31" spans="1:22" ht="19.5" customHeight="1">
      <c r="A31" s="449">
        <v>1</v>
      </c>
      <c r="C31" s="495" t="s">
        <v>430</v>
      </c>
      <c r="D31" s="450"/>
      <c r="E31" s="62"/>
      <c r="F31" s="381"/>
      <c r="G31" s="450"/>
      <c r="H31" s="370"/>
      <c r="I31" s="450"/>
      <c r="J31" s="370"/>
      <c r="K31" s="450"/>
      <c r="L31" s="378"/>
      <c r="M31" s="389"/>
      <c r="N31" s="389"/>
      <c r="O31" s="32">
        <v>1</v>
      </c>
      <c r="P31" s="503">
        <f>IF(D31&gt;0,E49*(D31-1)+G49,0)</f>
        <v>0</v>
      </c>
      <c r="Q31" s="32"/>
      <c r="R31" s="503">
        <f>+G31*E49*0.2+I31*E49*0.4+K31*E49*0.4</f>
        <v>0</v>
      </c>
      <c r="S31" s="506"/>
      <c r="T31" s="35"/>
      <c r="U31" s="35"/>
      <c r="V31" s="20"/>
    </row>
    <row r="32" spans="2:22" ht="19.5" customHeight="1">
      <c r="B32" s="20">
        <f>IF(A31=1,"",IF(E49=0,"Bitte konkretesieren Sie Ihre Angabe!",""))</f>
      </c>
      <c r="E32" s="62"/>
      <c r="F32" s="379"/>
      <c r="G32" s="9"/>
      <c r="H32" s="9"/>
      <c r="I32" s="9"/>
      <c r="J32" s="9"/>
      <c r="K32" s="370"/>
      <c r="L32" s="378"/>
      <c r="M32" s="389"/>
      <c r="N32" s="389"/>
      <c r="O32" s="32"/>
      <c r="P32" s="32"/>
      <c r="Q32" s="32"/>
      <c r="R32" s="32"/>
      <c r="S32" s="32"/>
      <c r="T32" s="35"/>
      <c r="U32" s="35"/>
      <c r="V32" s="20"/>
    </row>
    <row r="33" spans="2:22" ht="19.5" customHeight="1">
      <c r="B33" s="496" t="s">
        <v>75</v>
      </c>
      <c r="C33" s="16"/>
      <c r="D33" s="59">
        <f>SUM(D23:D31)</f>
        <v>0</v>
      </c>
      <c r="E33" s="449">
        <v>4</v>
      </c>
      <c r="F33" s="379"/>
      <c r="G33" s="450"/>
      <c r="H33" s="9"/>
      <c r="I33" s="450"/>
      <c r="J33" s="9"/>
      <c r="K33" s="450"/>
      <c r="L33" s="378"/>
      <c r="M33" s="389"/>
      <c r="N33" s="389" t="s">
        <v>298</v>
      </c>
      <c r="O33" s="32"/>
      <c r="P33" s="32"/>
      <c r="Q33" s="32"/>
      <c r="R33" s="503">
        <f>+G33*E51*0.2+I33*E51*0.4+K33*E51*0.4</f>
        <v>0</v>
      </c>
      <c r="S33" s="506"/>
      <c r="T33" s="35"/>
      <c r="U33" s="35"/>
      <c r="V33" s="20"/>
    </row>
    <row r="34" spans="3:22" ht="19.5" customHeight="1">
      <c r="C34" s="20" t="str">
        <f>IF($F$11=$D$33+2," ","Die Anzahl der Tage ist nicht korrekt!")</f>
        <v> </v>
      </c>
      <c r="E34" s="20"/>
      <c r="F34" s="463"/>
      <c r="G34" s="383">
        <f>+G21+G25+G27+G29+G31+G33</f>
        <v>0</v>
      </c>
      <c r="H34" s="383"/>
      <c r="I34" s="383">
        <f>SUM(I21:I33)</f>
        <v>0</v>
      </c>
      <c r="J34" s="383"/>
      <c r="K34" s="383">
        <f>SUM(K21:K33)</f>
        <v>0</v>
      </c>
      <c r="L34" s="384"/>
      <c r="M34" s="389"/>
      <c r="N34" s="389"/>
      <c r="O34" s="32"/>
      <c r="P34" s="32"/>
      <c r="Q34" s="32"/>
      <c r="R34" s="32"/>
      <c r="S34" s="32"/>
      <c r="T34" s="35"/>
      <c r="U34" s="35"/>
      <c r="V34" s="20"/>
    </row>
    <row r="35" spans="7:22" ht="19.5" customHeight="1">
      <c r="G35" s="20" t="str">
        <f>IF(OR($F$11&gt;G34,$F$11=G34)," ","Frühstück prüfen!")</f>
        <v> </v>
      </c>
      <c r="I35" s="20" t="str">
        <f>IF(OR($F$11&gt;I34,$F$11=I34)," ","Mittagessen prüfen!")</f>
        <v> </v>
      </c>
      <c r="K35" s="20" t="str">
        <f>IF(OR($F$11&gt;K34,$F$11=K34)," ","Abendessen prüfen!")</f>
        <v> </v>
      </c>
      <c r="L35" s="8"/>
      <c r="M35" s="389"/>
      <c r="N35" s="389"/>
      <c r="O35" s="32" t="s">
        <v>1</v>
      </c>
      <c r="P35" s="506">
        <f>SUM(P23:P31)</f>
        <v>0</v>
      </c>
      <c r="Q35" s="506"/>
      <c r="R35" s="506">
        <f>SUM(R23:R31)</f>
        <v>0</v>
      </c>
      <c r="S35" s="32"/>
      <c r="T35" s="35"/>
      <c r="U35" s="35"/>
      <c r="V35" s="20"/>
    </row>
    <row r="36" spans="12:22" ht="6.75" customHeight="1">
      <c r="L36" s="8"/>
      <c r="M36" s="389"/>
      <c r="N36" s="389"/>
      <c r="O36" s="32"/>
      <c r="P36" s="32"/>
      <c r="Q36" s="35"/>
      <c r="R36" s="35"/>
      <c r="S36" s="35"/>
      <c r="T36" s="35"/>
      <c r="U36" s="35"/>
      <c r="V36" s="20"/>
    </row>
    <row r="37" spans="2:45" s="14" customFormat="1" ht="19.5" customHeight="1">
      <c r="B37" s="403" t="s">
        <v>439</v>
      </c>
      <c r="C37" s="385"/>
      <c r="D37" s="385"/>
      <c r="E37" s="385"/>
      <c r="F37" s="385"/>
      <c r="G37" s="385"/>
      <c r="H37" s="385"/>
      <c r="I37" s="385"/>
      <c r="J37" s="385"/>
      <c r="K37" s="386"/>
      <c r="L37" s="385"/>
      <c r="M37" s="461"/>
      <c r="N37" s="502"/>
      <c r="O37" s="59"/>
      <c r="P37" s="59"/>
      <c r="Q37" s="20"/>
      <c r="R37" s="20"/>
      <c r="S37" s="20"/>
      <c r="T37" s="20"/>
      <c r="U37" s="20"/>
      <c r="V37" s="20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s="14" customFormat="1" ht="19.5" customHeight="1">
      <c r="B38" s="9"/>
      <c r="C38" s="9"/>
      <c r="D38" s="9"/>
      <c r="E38" s="9"/>
      <c r="F38" s="9"/>
      <c r="G38" s="9"/>
      <c r="H38" s="9"/>
      <c r="I38" s="9"/>
      <c r="J38" s="9"/>
      <c r="K38" s="30"/>
      <c r="L38" s="9"/>
      <c r="M38" s="30"/>
      <c r="O38" s="8"/>
      <c r="P38" s="8"/>
      <c r="Q38" s="20"/>
      <c r="R38" s="20"/>
      <c r="S38" s="20"/>
      <c r="T38" s="20"/>
      <c r="U38" s="20"/>
      <c r="V38" s="20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s="14" customFormat="1" ht="48" customHeight="1">
      <c r="B39" s="498" t="s">
        <v>78</v>
      </c>
      <c r="C39" s="499" t="s">
        <v>429</v>
      </c>
      <c r="D39" s="498"/>
      <c r="E39" s="499" t="s">
        <v>428</v>
      </c>
      <c r="F39" s="498"/>
      <c r="G39" s="499" t="s">
        <v>409</v>
      </c>
      <c r="H39" s="498"/>
      <c r="I39" s="500" t="s">
        <v>427</v>
      </c>
      <c r="J39" s="498"/>
      <c r="K39" s="500" t="s">
        <v>299</v>
      </c>
      <c r="L39" s="501"/>
      <c r="M39" s="500" t="s">
        <v>431</v>
      </c>
      <c r="O39" s="8"/>
      <c r="P39" s="8"/>
      <c r="Q39" s="20"/>
      <c r="R39" s="20"/>
      <c r="S39" s="20"/>
      <c r="T39" s="20"/>
      <c r="U39" s="20"/>
      <c r="V39" s="20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s="14" customFormat="1" ht="19.5" customHeight="1">
      <c r="B40" s="487"/>
      <c r="C40" s="487"/>
      <c r="D40" s="487"/>
      <c r="E40" s="487"/>
      <c r="F40" s="487"/>
      <c r="G40" s="487"/>
      <c r="H40" s="487"/>
      <c r="I40" s="488"/>
      <c r="J40" s="487"/>
      <c r="K40" s="488"/>
      <c r="M40" s="488"/>
      <c r="O40" s="8"/>
      <c r="P40" s="8"/>
      <c r="Q40" s="20"/>
      <c r="R40" s="20"/>
      <c r="S40" s="20"/>
      <c r="T40" s="20"/>
      <c r="U40" s="20"/>
      <c r="V40" s="20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s="14" customFormat="1" ht="19.5" customHeight="1">
      <c r="B41" s="487" t="str">
        <f>"Anreisetag / "&amp;VLOOKUP($E$21,Auslandsreisepauschalen!$A$7:$G$249,2)</f>
        <v>Anreisetag /  </v>
      </c>
      <c r="C41" s="497">
        <v>1</v>
      </c>
      <c r="D41" s="487"/>
      <c r="E41" s="489">
        <f>VLOOKUP(E21,Auslandsreisepauschalen!$A$7:$G$249,4)</f>
        <v>0</v>
      </c>
      <c r="F41" s="487"/>
      <c r="G41" s="490">
        <f>VLOOKUP(E21,Auslandsreisepauschalen!$A$7:$G$249,5)</f>
        <v>0</v>
      </c>
      <c r="H41" s="487"/>
      <c r="I41" s="491">
        <f>C41*G41</f>
        <v>0</v>
      </c>
      <c r="J41" s="487"/>
      <c r="K41" s="491">
        <f>IF(R23+R21&gt;I41,I41,R23+R21)</f>
        <v>0</v>
      </c>
      <c r="M41" s="491">
        <f>+I41-K41</f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s="14" customFormat="1" ht="9.75" customHeight="1">
      <c r="B42" s="508" t="str">
        <f>VLOOKUP($E$21,Auslandsreisepauschalen!$A$7:$G$249,2)</f>
        <v> </v>
      </c>
      <c r="C42" s="497"/>
      <c r="D42" s="487"/>
      <c r="E42" s="490"/>
      <c r="F42" s="487"/>
      <c r="G42" s="490"/>
      <c r="H42" s="487"/>
      <c r="I42" s="491"/>
      <c r="J42" s="487"/>
      <c r="K42" s="488"/>
      <c r="M42" s="491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s="14" customFormat="1" ht="19.5" customHeight="1">
      <c r="B43" s="487" t="str">
        <f>VLOOKUP(A25,Auslandsreisepauschalen!$A$6:$G$252,2)</f>
        <v> </v>
      </c>
      <c r="C43" s="497">
        <f>+D25</f>
        <v>0</v>
      </c>
      <c r="D43" s="487"/>
      <c r="E43" s="490">
        <f>VLOOKUP(A25,Auslandsreisepauschalen!$A$7:$G$249,4)</f>
        <v>0</v>
      </c>
      <c r="F43" s="487"/>
      <c r="G43" s="489">
        <f>VLOOKUP(A25,Auslandsreisepauschalen!$A$7:$G$249,5)</f>
        <v>0</v>
      </c>
      <c r="H43" s="487"/>
      <c r="I43" s="491">
        <f>C43*E43</f>
        <v>0</v>
      </c>
      <c r="J43" s="487"/>
      <c r="K43" s="491">
        <f>+R25+S25</f>
        <v>0</v>
      </c>
      <c r="M43" s="491">
        <f>+I43-K43</f>
        <v>0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s="14" customFormat="1" ht="9.75" customHeight="1">
      <c r="B44" s="487"/>
      <c r="C44" s="497"/>
      <c r="D44" s="487"/>
      <c r="E44" s="490"/>
      <c r="F44" s="487"/>
      <c r="G44" s="489"/>
      <c r="H44" s="487"/>
      <c r="I44" s="491"/>
      <c r="J44" s="487"/>
      <c r="K44" s="488"/>
      <c r="M44" s="491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s="14" customFormat="1" ht="19.5" customHeight="1">
      <c r="B45" s="487" t="str">
        <f>VLOOKUP(A27,Auslandsreisepauschalen!$A$6:$G$252,2)</f>
        <v> </v>
      </c>
      <c r="C45" s="497">
        <f>+D27</f>
        <v>0</v>
      </c>
      <c r="D45" s="487"/>
      <c r="E45" s="490">
        <f>VLOOKUP(A27,Auslandsreisepauschalen!$A$7:$G$249,4)</f>
        <v>0</v>
      </c>
      <c r="F45" s="487"/>
      <c r="G45" s="489">
        <f>VLOOKUP(A27,Auslandsreisepauschalen!$A$7:$G$249,5)</f>
        <v>0</v>
      </c>
      <c r="H45" s="487"/>
      <c r="I45" s="491">
        <f>C45*E45</f>
        <v>0</v>
      </c>
      <c r="J45" s="487"/>
      <c r="K45" s="491">
        <f>+R27+S27</f>
        <v>0</v>
      </c>
      <c r="M45" s="491">
        <f>+I45-K45</f>
        <v>0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s="14" customFormat="1" ht="9.75" customHeight="1">
      <c r="B46" s="487"/>
      <c r="C46" s="497"/>
      <c r="D46" s="487"/>
      <c r="E46" s="490"/>
      <c r="F46" s="487"/>
      <c r="G46" s="489"/>
      <c r="H46" s="487"/>
      <c r="I46" s="491"/>
      <c r="J46" s="487"/>
      <c r="K46" s="488"/>
      <c r="M46" s="491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s="14" customFormat="1" ht="19.5" customHeight="1">
      <c r="B47" s="487" t="str">
        <f>VLOOKUP(A29,Auslandsreisepauschalen!$A$6:$G$252,2)</f>
        <v> </v>
      </c>
      <c r="C47" s="497">
        <f>+D29</f>
        <v>0</v>
      </c>
      <c r="D47" s="487"/>
      <c r="E47" s="490">
        <f>VLOOKUP(A29,Auslandsreisepauschalen!$A$7:$G$249,4)</f>
        <v>0</v>
      </c>
      <c r="F47" s="487"/>
      <c r="G47" s="489">
        <f>VLOOKUP(A29,Auslandsreisepauschalen!$A$7:$G$249,5)</f>
        <v>0</v>
      </c>
      <c r="H47" s="487"/>
      <c r="I47" s="491">
        <f>C47*E47</f>
        <v>0</v>
      </c>
      <c r="J47" s="487"/>
      <c r="K47" s="491">
        <f>+R29</f>
        <v>0</v>
      </c>
      <c r="M47" s="491">
        <f>+I47-K47</f>
        <v>0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2:45" s="14" customFormat="1" ht="9.75" customHeight="1">
      <c r="B48" s="487"/>
      <c r="C48" s="497"/>
      <c r="D48" s="487"/>
      <c r="E48" s="490"/>
      <c r="F48" s="487"/>
      <c r="G48" s="490"/>
      <c r="H48" s="487"/>
      <c r="I48" s="491"/>
      <c r="J48" s="487"/>
      <c r="K48" s="488"/>
      <c r="M48" s="491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2:45" s="14" customFormat="1" ht="19.5" customHeight="1">
      <c r="B49" s="487" t="str">
        <f>VLOOKUP(A31,Auslandsreisepauschalen!$A$6:$G$252,2)</f>
        <v> </v>
      </c>
      <c r="C49" s="497">
        <f>+D31</f>
        <v>0</v>
      </c>
      <c r="D49" s="487"/>
      <c r="E49" s="494">
        <f>IF(C49=0,0,VLOOKUP(A31,Auslandsreisepauschalen!$A$7:$G$249,4))</f>
        <v>0</v>
      </c>
      <c r="F49" s="487"/>
      <c r="G49" s="489">
        <f>VLOOKUP(A31,Auslandsreisepauschalen!$A$7:$G$249,5)</f>
        <v>0</v>
      </c>
      <c r="H49" s="487"/>
      <c r="I49" s="491">
        <f>C49*E49</f>
        <v>0</v>
      </c>
      <c r="J49" s="487"/>
      <c r="K49" s="491">
        <f>+R31</f>
        <v>0</v>
      </c>
      <c r="M49" s="491">
        <f>+I49-K49</f>
        <v>0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2:45" s="14" customFormat="1" ht="9.75" customHeight="1">
      <c r="B50" s="487"/>
      <c r="C50" s="497"/>
      <c r="D50" s="487"/>
      <c r="E50" s="490"/>
      <c r="F50" s="487"/>
      <c r="G50" s="490"/>
      <c r="H50" s="487"/>
      <c r="I50" s="491"/>
      <c r="J50" s="487"/>
      <c r="K50" s="491"/>
      <c r="M50" s="491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2:45" s="14" customFormat="1" ht="19.5" customHeight="1">
      <c r="B51" s="487" t="str">
        <f>"Abreisetag / "&amp;VLOOKUP($E$33,Auslandsreisepauschalen!$A$7:$G$249,2)</f>
        <v>Abreisetag / Ägypten</v>
      </c>
      <c r="C51" s="497">
        <v>1</v>
      </c>
      <c r="D51" s="487"/>
      <c r="E51" s="489">
        <f>VLOOKUP($E$33,Auslandsreisepauschalen!$A$7:$G$249,4)</f>
        <v>41</v>
      </c>
      <c r="F51" s="487"/>
      <c r="G51" s="490">
        <f>VLOOKUP(E33,Auslandsreisepauschalen!$A$7:$G$249,5)</f>
        <v>28</v>
      </c>
      <c r="H51" s="487"/>
      <c r="I51" s="491">
        <f>C51*G51</f>
        <v>28</v>
      </c>
      <c r="J51" s="487"/>
      <c r="K51" s="491">
        <f>IF(I51&gt;R33,R33,I51)</f>
        <v>0</v>
      </c>
      <c r="M51" s="491">
        <f>+I51-K51</f>
        <v>28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2:45" s="14" customFormat="1" ht="19.5" customHeight="1">
      <c r="B52" s="487"/>
      <c r="C52" s="487"/>
      <c r="D52" s="487"/>
      <c r="E52" s="487"/>
      <c r="F52" s="487"/>
      <c r="G52" s="487"/>
      <c r="H52" s="487"/>
      <c r="I52" s="491"/>
      <c r="J52" s="487"/>
      <c r="K52" s="491"/>
      <c r="L52" s="487"/>
      <c r="M52" s="491"/>
      <c r="N52" s="487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2:45" s="14" customFormat="1" ht="19.5" customHeight="1">
      <c r="B53" s="492" t="s">
        <v>1</v>
      </c>
      <c r="C53" s="492"/>
      <c r="D53" s="492"/>
      <c r="E53" s="492"/>
      <c r="F53" s="492"/>
      <c r="G53" s="492"/>
      <c r="H53" s="487"/>
      <c r="I53" s="493">
        <f>SUM(I41:I51)</f>
        <v>28</v>
      </c>
      <c r="J53" s="487"/>
      <c r="K53" s="493">
        <f>SUM(K41:K51)</f>
        <v>0</v>
      </c>
      <c r="L53" s="487"/>
      <c r="M53" s="493">
        <f>SUM(M41:M51)</f>
        <v>28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2:45" s="14" customFormat="1" ht="19.5" customHeight="1">
      <c r="B54" s="8"/>
      <c r="C54" s="8"/>
      <c r="D54" s="8"/>
      <c r="E54" s="8"/>
      <c r="F54" s="8"/>
      <c r="G54" s="8"/>
      <c r="H54" s="8"/>
      <c r="I54" s="8"/>
      <c r="J54" s="8"/>
      <c r="L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2:45" s="14" customFormat="1" ht="19.5" customHeight="1">
      <c r="B55" s="8"/>
      <c r="C55" s="8"/>
      <c r="D55" s="8"/>
      <c r="E55" s="8"/>
      <c r="F55" s="8"/>
      <c r="G55" s="8"/>
      <c r="H55" s="8"/>
      <c r="I55" s="8"/>
      <c r="J55" s="8"/>
      <c r="L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2:45" s="14" customFormat="1" ht="19.5" customHeight="1">
      <c r="B56" s="8"/>
      <c r="C56" s="8"/>
      <c r="D56" s="8"/>
      <c r="E56" s="8"/>
      <c r="F56" s="8"/>
      <c r="G56" s="8"/>
      <c r="H56" s="8"/>
      <c r="I56" s="8"/>
      <c r="J56" s="8"/>
      <c r="L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2:45" s="14" customFormat="1" ht="19.5" customHeight="1">
      <c r="B57" s="8"/>
      <c r="C57" s="8"/>
      <c r="D57" s="8"/>
      <c r="E57" s="8"/>
      <c r="F57" s="8"/>
      <c r="G57" s="8"/>
      <c r="H57" s="8"/>
      <c r="I57" s="8"/>
      <c r="J57" s="8"/>
      <c r="L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2:45" s="14" customFormat="1" ht="19.5" customHeight="1">
      <c r="B58" s="8"/>
      <c r="C58" s="8"/>
      <c r="D58" s="8"/>
      <c r="E58" s="8"/>
      <c r="F58" s="8"/>
      <c r="G58" s="8"/>
      <c r="H58" s="8"/>
      <c r="I58" s="8"/>
      <c r="J58" s="8"/>
      <c r="L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2:45" s="14" customFormat="1" ht="19.5" customHeight="1">
      <c r="B59" s="8"/>
      <c r="C59" s="8"/>
      <c r="D59" s="8"/>
      <c r="E59" s="8"/>
      <c r="F59" s="8"/>
      <c r="G59" s="8"/>
      <c r="H59" s="8"/>
      <c r="I59" s="8"/>
      <c r="J59" s="8"/>
      <c r="L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2:45" s="14" customFormat="1" ht="19.5" customHeight="1">
      <c r="B60" s="8"/>
      <c r="C60" s="8"/>
      <c r="D60" s="8"/>
      <c r="E60" s="8"/>
      <c r="F60" s="8"/>
      <c r="G60" s="8"/>
      <c r="H60" s="8"/>
      <c r="I60" s="8"/>
      <c r="J60" s="8"/>
      <c r="L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2:45" s="14" customFormat="1" ht="19.5" customHeight="1">
      <c r="B61" s="8"/>
      <c r="C61" s="8"/>
      <c r="D61" s="8"/>
      <c r="E61" s="8"/>
      <c r="F61" s="8"/>
      <c r="G61" s="8"/>
      <c r="H61" s="8"/>
      <c r="I61" s="8"/>
      <c r="J61" s="8"/>
      <c r="L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2:45" s="14" customFormat="1" ht="19.5" customHeight="1">
      <c r="B62" s="8"/>
      <c r="C62" s="8"/>
      <c r="D62" s="8"/>
      <c r="E62" s="8"/>
      <c r="F62" s="8"/>
      <c r="G62" s="8"/>
      <c r="H62" s="8"/>
      <c r="I62" s="8"/>
      <c r="J62" s="8"/>
      <c r="L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2:45" s="14" customFormat="1" ht="19.5" customHeight="1">
      <c r="B63" s="8"/>
      <c r="C63" s="8"/>
      <c r="D63" s="8"/>
      <c r="E63" s="8"/>
      <c r="F63" s="8"/>
      <c r="G63" s="8"/>
      <c r="H63" s="8"/>
      <c r="I63" s="8"/>
      <c r="J63" s="8"/>
      <c r="L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2:45" s="14" customFormat="1" ht="19.5" customHeight="1">
      <c r="B64" s="8"/>
      <c r="C64" s="8"/>
      <c r="D64" s="8"/>
      <c r="E64" s="8"/>
      <c r="F64" s="8"/>
      <c r="G64" s="8"/>
      <c r="H64" s="8"/>
      <c r="I64" s="8"/>
      <c r="J64" s="8"/>
      <c r="L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2:45" s="14" customFormat="1" ht="19.5" customHeight="1">
      <c r="B65" s="8"/>
      <c r="C65" s="8"/>
      <c r="D65" s="8"/>
      <c r="E65" s="8"/>
      <c r="F65" s="8"/>
      <c r="G65" s="8"/>
      <c r="H65" s="8"/>
      <c r="I65" s="8"/>
      <c r="J65" s="8"/>
      <c r="L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2:45" s="14" customFormat="1" ht="19.5" customHeight="1">
      <c r="B66" s="8"/>
      <c r="C66" s="8"/>
      <c r="D66" s="8"/>
      <c r="E66" s="8"/>
      <c r="F66" s="8"/>
      <c r="G66" s="8"/>
      <c r="H66" s="8"/>
      <c r="I66" s="8"/>
      <c r="J66" s="8"/>
      <c r="L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2:45" s="14" customFormat="1" ht="19.5" customHeight="1">
      <c r="B67" s="8"/>
      <c r="C67" s="8"/>
      <c r="D67" s="8"/>
      <c r="E67" s="8"/>
      <c r="F67" s="8"/>
      <c r="G67" s="8"/>
      <c r="H67" s="8"/>
      <c r="I67" s="8"/>
      <c r="J67" s="8"/>
      <c r="L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2:45" s="14" customFormat="1" ht="19.5" customHeight="1">
      <c r="B68" s="8"/>
      <c r="C68" s="8"/>
      <c r="D68" s="8"/>
      <c r="E68" s="8"/>
      <c r="F68" s="8"/>
      <c r="G68" s="8"/>
      <c r="H68" s="8"/>
      <c r="I68" s="8"/>
      <c r="J68" s="8"/>
      <c r="L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2:45" s="14" customFormat="1" ht="19.5" customHeight="1">
      <c r="B69" s="8"/>
      <c r="C69" s="8"/>
      <c r="D69" s="8"/>
      <c r="E69" s="8"/>
      <c r="F69" s="8"/>
      <c r="G69" s="8"/>
      <c r="H69" s="8"/>
      <c r="I69" s="8"/>
      <c r="J69" s="8"/>
      <c r="L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2:14" ht="19.5" customHeight="1">
      <c r="L70" s="8"/>
      <c r="M70" s="14"/>
      <c r="N70" s="14"/>
    </row>
    <row r="71" spans="12:14" ht="19.5" customHeight="1">
      <c r="L71" s="8"/>
      <c r="M71" s="14"/>
      <c r="N71" s="14"/>
    </row>
    <row r="72" spans="12:14" ht="19.5" customHeight="1">
      <c r="L72" s="8"/>
      <c r="M72" s="14"/>
      <c r="N72" s="14"/>
    </row>
    <row r="73" spans="12:14" ht="19.5" customHeight="1">
      <c r="L73" s="8"/>
      <c r="M73" s="14"/>
      <c r="N73" s="14"/>
    </row>
    <row r="74" spans="12:14" ht="19.5" customHeight="1">
      <c r="L74" s="8"/>
      <c r="M74" s="14"/>
      <c r="N74" s="14"/>
    </row>
    <row r="75" spans="12:14" ht="19.5" customHeight="1">
      <c r="L75" s="8"/>
      <c r="M75" s="14"/>
      <c r="N75" s="14"/>
    </row>
    <row r="76" spans="12:14" ht="19.5" customHeight="1">
      <c r="L76" s="8"/>
      <c r="M76" s="14"/>
      <c r="N76" s="14"/>
    </row>
    <row r="77" spans="12:14" ht="19.5" customHeight="1">
      <c r="L77" s="8"/>
      <c r="M77" s="14"/>
      <c r="N77" s="14"/>
    </row>
    <row r="78" spans="12:14" ht="19.5" customHeight="1">
      <c r="L78" s="8"/>
      <c r="M78" s="14"/>
      <c r="N78" s="14"/>
    </row>
    <row r="79" spans="12:14" ht="19.5" customHeight="1">
      <c r="L79" s="8"/>
      <c r="M79" s="14"/>
      <c r="N79" s="14"/>
    </row>
    <row r="80" spans="12:14" ht="19.5" customHeight="1">
      <c r="L80" s="8"/>
      <c r="M80" s="14"/>
      <c r="N80" s="14"/>
    </row>
    <row r="81" spans="12:14" ht="19.5" customHeight="1">
      <c r="L81" s="8"/>
      <c r="M81" s="14"/>
      <c r="N81" s="14"/>
    </row>
    <row r="82" spans="12:14" ht="19.5" customHeight="1">
      <c r="L82" s="8"/>
      <c r="M82" s="14"/>
      <c r="N82" s="14"/>
    </row>
    <row r="83" spans="12:14" ht="19.5" customHeight="1">
      <c r="L83" s="8"/>
      <c r="M83" s="14"/>
      <c r="N83" s="14"/>
    </row>
    <row r="84" spans="12:14" ht="19.5" customHeight="1">
      <c r="L84" s="8"/>
      <c r="M84" s="14"/>
      <c r="N84" s="14"/>
    </row>
    <row r="85" spans="12:14" ht="19.5" customHeight="1">
      <c r="L85" s="8"/>
      <c r="M85" s="14"/>
      <c r="N85" s="14"/>
    </row>
    <row r="86" spans="12:14" ht="19.5" customHeight="1">
      <c r="L86" s="8"/>
      <c r="M86" s="14"/>
      <c r="N86" s="14"/>
    </row>
    <row r="87" spans="12:14" ht="19.5" customHeight="1">
      <c r="L87" s="8"/>
      <c r="M87" s="14"/>
      <c r="N87" s="14"/>
    </row>
    <row r="88" spans="12:14" ht="19.5" customHeight="1">
      <c r="L88" s="8"/>
      <c r="M88" s="14"/>
      <c r="N88" s="14"/>
    </row>
    <row r="89" spans="12:14" ht="19.5" customHeight="1">
      <c r="L89" s="8"/>
      <c r="M89" s="14"/>
      <c r="N89" s="14"/>
    </row>
    <row r="90" spans="12:14" ht="19.5" customHeight="1">
      <c r="L90" s="8"/>
      <c r="M90" s="14"/>
      <c r="N90" s="14"/>
    </row>
    <row r="91" spans="12:14" ht="19.5" customHeight="1">
      <c r="L91" s="8"/>
      <c r="M91" s="14"/>
      <c r="N91" s="14"/>
    </row>
    <row r="92" spans="12:14" ht="19.5" customHeight="1">
      <c r="L92" s="8"/>
      <c r="M92" s="14"/>
      <c r="N92" s="14"/>
    </row>
    <row r="93" spans="12:14" ht="19.5" customHeight="1">
      <c r="L93" s="8"/>
      <c r="M93" s="14"/>
      <c r="N93" s="14"/>
    </row>
    <row r="94" spans="12:14" ht="19.5" customHeight="1">
      <c r="L94" s="8"/>
      <c r="M94" s="14"/>
      <c r="N94" s="14"/>
    </row>
    <row r="95" spans="12:14" ht="19.5" customHeight="1">
      <c r="L95" s="8"/>
      <c r="M95" s="14"/>
      <c r="N95" s="14"/>
    </row>
    <row r="96" spans="12:14" ht="19.5" customHeight="1">
      <c r="L96" s="8"/>
      <c r="M96" s="14"/>
      <c r="N96" s="14"/>
    </row>
    <row r="97" spans="12:14" ht="19.5" customHeight="1">
      <c r="L97" s="8"/>
      <c r="M97" s="14"/>
      <c r="N97" s="14"/>
    </row>
    <row r="98" spans="12:14" ht="19.5" customHeight="1">
      <c r="L98" s="8"/>
      <c r="M98" s="14"/>
      <c r="N98" s="14"/>
    </row>
    <row r="99" spans="12:14" ht="19.5" customHeight="1">
      <c r="L99" s="8"/>
      <c r="M99" s="14"/>
      <c r="N99" s="14"/>
    </row>
    <row r="100" spans="12:14" ht="19.5" customHeight="1">
      <c r="L100" s="8"/>
      <c r="M100" s="14"/>
      <c r="N100" s="14"/>
    </row>
    <row r="101" spans="12:14" ht="19.5" customHeight="1">
      <c r="L101" s="8"/>
      <c r="M101" s="14"/>
      <c r="N101" s="14"/>
    </row>
    <row r="988" ht="19.5" customHeight="1">
      <c r="O988" s="8">
        <v>55</v>
      </c>
    </row>
    <row r="990" ht="19.5" customHeight="1">
      <c r="O990" s="8">
        <v>57</v>
      </c>
    </row>
    <row r="992" ht="19.5" customHeight="1">
      <c r="O992" s="8">
        <v>58</v>
      </c>
    </row>
    <row r="994" ht="19.5" customHeight="1">
      <c r="O994" s="8">
        <v>57</v>
      </c>
    </row>
    <row r="996" ht="19.5" customHeight="1">
      <c r="O996" s="8">
        <v>59</v>
      </c>
    </row>
  </sheetData>
  <sheetProtection password="C811" sheet="1" selectLockedCells="1"/>
  <mergeCells count="2">
    <mergeCell ref="B6:G6"/>
    <mergeCell ref="H6:K6"/>
  </mergeCells>
  <dataValidations count="5">
    <dataValidation type="whole" allowBlank="1" showInputMessage="1" showErrorMessage="1" errorTitle="Achtung!" error="Die Angabe passt nicht zur Anzahl der Reisetage!" sqref="K25 K27 K29">
      <formula1>0</formula1>
      <formula2>D25</formula2>
    </dataValidation>
    <dataValidation type="whole" allowBlank="1" showInputMessage="1" showErrorMessage="1" errorTitle="Achtung!" error="Die Angabe passt nicht zur Anzahl der Reisetage!" sqref="I25 I27 I29">
      <formula1>0</formula1>
      <formula2>D25</formula2>
    </dataValidation>
    <dataValidation type="whole" allowBlank="1" showInputMessage="1" showErrorMessage="1" errorTitle="Achtung!" error="Die Angabe passt nicht zur Anzahl der Reisetage!" sqref="G25 G27 G29">
      <formula1>0</formula1>
      <formula2>D25</formula2>
    </dataValidation>
    <dataValidation type="whole" allowBlank="1" showInputMessage="1" showErrorMessage="1" errorTitle="Achtung!" error="Die Angabe passt nicht zur Anzahl der Reisetage!" sqref="I31 G31 K31">
      <formula1>0</formula1>
      <formula2>D31</formula2>
    </dataValidation>
    <dataValidation type="whole" allowBlank="1" showInputMessage="1" showErrorMessage="1" sqref="G21 I21 K21 G33 I33 K33">
      <formula1>0</formula1>
      <formula2>1</formula2>
    </dataValidation>
  </dataValidations>
  <printOptions horizontalCentered="1"/>
  <pageMargins left="0.6299212598425197" right="0.2755905511811024" top="0.5118110236220472" bottom="0.2755905511811024" header="0.5118110236220472" footer="0.3937007874015748"/>
  <pageSetup cellComments="asDisplayed" fitToHeight="1" fitToWidth="1" horizontalDpi="300" verticalDpi="300" orientation="landscape" paperSize="8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2:Q90"/>
  <sheetViews>
    <sheetView showGridLines="0" showRowColHeaders="0" showZeros="0" zoomScalePageLayoutView="0" workbookViewId="0" topLeftCell="A3">
      <selection activeCell="B8" sqref="B8"/>
    </sheetView>
  </sheetViews>
  <sheetFormatPr defaultColWidth="11.421875" defaultRowHeight="19.5" customHeight="1"/>
  <cols>
    <col min="1" max="1" width="2.57421875" style="8" customWidth="1"/>
    <col min="2" max="2" width="55.00390625" style="8" customWidth="1"/>
    <col min="3" max="3" width="1.1484375" style="8" customWidth="1"/>
    <col min="4" max="4" width="12.421875" style="8" bestFit="1" customWidth="1"/>
    <col min="5" max="5" width="7.57421875" style="8" bestFit="1" customWidth="1"/>
    <col min="6" max="6" width="8.7109375" style="8" customWidth="1"/>
    <col min="7" max="7" width="2.7109375" style="8" customWidth="1"/>
    <col min="8" max="8" width="20.7109375" style="8" bestFit="1" customWidth="1"/>
    <col min="9" max="9" width="2.7109375" style="14" customWidth="1"/>
    <col min="10" max="10" width="13.00390625" style="14" customWidth="1"/>
    <col min="11" max="16384" width="11.421875" style="8" customWidth="1"/>
  </cols>
  <sheetData>
    <row r="1" ht="19.5" customHeight="1" hidden="1"/>
    <row r="2" spans="2:3" s="7" customFormat="1" ht="19.5" customHeight="1" hidden="1">
      <c r="B2" s="6" t="s">
        <v>6</v>
      </c>
      <c r="C2" s="6"/>
    </row>
    <row r="3" spans="2:3" s="7" customFormat="1" ht="12" customHeight="1">
      <c r="B3" s="6"/>
      <c r="C3" s="6"/>
    </row>
    <row r="4" spans="2:12" s="7" customFormat="1" ht="19.5" customHeight="1">
      <c r="B4" s="268" t="s">
        <v>300</v>
      </c>
      <c r="C4" s="67"/>
      <c r="D4" s="68"/>
      <c r="E4" s="68"/>
      <c r="F4" s="68"/>
      <c r="G4" s="68"/>
      <c r="H4" s="68"/>
      <c r="I4" s="68"/>
      <c r="J4" s="68"/>
      <c r="K4" s="65"/>
      <c r="L4" s="65"/>
    </row>
    <row r="5" spans="2:12" s="7" customFormat="1" ht="4.5" customHeight="1">
      <c r="B5" s="189"/>
      <c r="C5" s="140"/>
      <c r="D5" s="141"/>
      <c r="E5" s="141"/>
      <c r="F5" s="141"/>
      <c r="G5" s="141"/>
      <c r="H5" s="141"/>
      <c r="I5" s="141"/>
      <c r="J5" s="190"/>
      <c r="K5" s="65"/>
      <c r="L5" s="65"/>
    </row>
    <row r="6" spans="2:12" ht="19.5" customHeight="1">
      <c r="B6" s="603" t="s">
        <v>17</v>
      </c>
      <c r="C6" s="581"/>
      <c r="D6" s="581"/>
      <c r="E6" s="581"/>
      <c r="F6" s="581"/>
      <c r="G6" s="581"/>
      <c r="H6" s="581"/>
      <c r="I6" s="581"/>
      <c r="J6" s="467"/>
      <c r="K6" s="62"/>
      <c r="L6" s="62"/>
    </row>
    <row r="7" spans="2:14" ht="19.5" customHeight="1">
      <c r="B7" s="157" t="s">
        <v>373</v>
      </c>
      <c r="C7" s="82"/>
      <c r="D7" s="604" t="s">
        <v>40</v>
      </c>
      <c r="E7" s="604"/>
      <c r="F7" s="604"/>
      <c r="G7" s="366"/>
      <c r="H7" s="191" t="s">
        <v>15</v>
      </c>
      <c r="I7" s="82"/>
      <c r="J7" s="192"/>
      <c r="K7" s="74"/>
      <c r="L7" s="62"/>
      <c r="M7" s="62"/>
      <c r="N7" s="62"/>
    </row>
    <row r="8" spans="2:12" ht="19.5" customHeight="1">
      <c r="B8" s="193"/>
      <c r="C8" s="82"/>
      <c r="D8" s="600"/>
      <c r="E8" s="601"/>
      <c r="F8" s="602"/>
      <c r="G8" s="366"/>
      <c r="H8" s="193"/>
      <c r="I8" s="82"/>
      <c r="J8" s="194">
        <f>D8*H8</f>
        <v>0</v>
      </c>
      <c r="K8" s="74"/>
      <c r="L8" s="62"/>
    </row>
    <row r="9" spans="2:12" ht="19.5" customHeight="1">
      <c r="B9" s="193"/>
      <c r="C9" s="82"/>
      <c r="D9" s="600"/>
      <c r="E9" s="601"/>
      <c r="F9" s="602"/>
      <c r="G9" s="366"/>
      <c r="H9" s="193"/>
      <c r="I9" s="82"/>
      <c r="J9" s="194">
        <f>D9*H9</f>
        <v>0</v>
      </c>
      <c r="K9" s="74"/>
      <c r="L9" s="62"/>
    </row>
    <row r="10" spans="2:12" ht="19.5" customHeight="1">
      <c r="B10" s="193"/>
      <c r="C10" s="82"/>
      <c r="D10" s="600"/>
      <c r="E10" s="601"/>
      <c r="F10" s="602"/>
      <c r="G10" s="366"/>
      <c r="H10" s="193"/>
      <c r="I10" s="82"/>
      <c r="J10" s="194">
        <f>D10*H10</f>
        <v>0</v>
      </c>
      <c r="K10" s="74"/>
      <c r="L10" s="62"/>
    </row>
    <row r="11" spans="2:12" ht="19.5" customHeight="1">
      <c r="B11" s="193"/>
      <c r="C11" s="82"/>
      <c r="D11" s="600"/>
      <c r="E11" s="601"/>
      <c r="F11" s="602"/>
      <c r="G11" s="366"/>
      <c r="H11" s="193"/>
      <c r="I11" s="82"/>
      <c r="J11" s="194">
        <f>D11*H11</f>
        <v>0</v>
      </c>
      <c r="K11" s="74"/>
      <c r="L11" s="62"/>
    </row>
    <row r="12" spans="2:12" ht="19.5" customHeight="1">
      <c r="B12" s="193"/>
      <c r="C12" s="82"/>
      <c r="D12" s="600"/>
      <c r="E12" s="601"/>
      <c r="F12" s="602"/>
      <c r="G12" s="366"/>
      <c r="H12" s="193"/>
      <c r="I12" s="82"/>
      <c r="J12" s="194">
        <f>D12*H12</f>
        <v>0</v>
      </c>
      <c r="K12" s="74"/>
      <c r="L12" s="62"/>
    </row>
    <row r="13" spans="2:12" ht="4.5" customHeight="1">
      <c r="B13" s="195"/>
      <c r="C13" s="196"/>
      <c r="D13" s="196"/>
      <c r="E13" s="197"/>
      <c r="F13" s="198"/>
      <c r="G13" s="198"/>
      <c r="H13" s="198"/>
      <c r="I13" s="198"/>
      <c r="J13" s="192"/>
      <c r="K13" s="62"/>
      <c r="L13" s="62"/>
    </row>
    <row r="14" spans="2:12" ht="4.5" customHeight="1">
      <c r="B14" s="195"/>
      <c r="C14" s="196"/>
      <c r="D14" s="196"/>
      <c r="E14" s="197"/>
      <c r="F14" s="198"/>
      <c r="G14" s="198"/>
      <c r="H14" s="198"/>
      <c r="I14" s="198"/>
      <c r="J14" s="192"/>
      <c r="K14" s="62"/>
      <c r="L14" s="62"/>
    </row>
    <row r="15" spans="2:12" ht="19.5" customHeight="1">
      <c r="B15" s="199"/>
      <c r="C15" s="145"/>
      <c r="D15" s="145"/>
      <c r="E15" s="410"/>
      <c r="F15" s="413"/>
      <c r="G15" s="413"/>
      <c r="H15" s="416" t="s">
        <v>1</v>
      </c>
      <c r="I15" s="413"/>
      <c r="J15" s="414">
        <f>SUM(J8:J14)</f>
        <v>0</v>
      </c>
      <c r="K15" s="62"/>
      <c r="L15" s="62"/>
    </row>
    <row r="16" spans="2:12" ht="4.5" customHeight="1">
      <c r="B16" s="195"/>
      <c r="C16" s="196"/>
      <c r="D16" s="196"/>
      <c r="E16" s="197"/>
      <c r="F16" s="198"/>
      <c r="G16" s="198"/>
      <c r="H16" s="198"/>
      <c r="I16" s="198"/>
      <c r="J16" s="192"/>
      <c r="K16" s="62"/>
      <c r="L16" s="62"/>
    </row>
    <row r="17" spans="1:12" ht="4.5" customHeight="1">
      <c r="A17" s="20"/>
      <c r="B17" s="195"/>
      <c r="C17" s="196"/>
      <c r="D17" s="196"/>
      <c r="E17" s="197"/>
      <c r="F17" s="198"/>
      <c r="G17" s="198"/>
      <c r="H17" s="198"/>
      <c r="I17" s="198"/>
      <c r="J17" s="192"/>
      <c r="K17" s="62"/>
      <c r="L17" s="62"/>
    </row>
    <row r="18" spans="1:12" ht="19.5" customHeight="1">
      <c r="A18" s="59"/>
      <c r="B18" s="195" t="s">
        <v>54</v>
      </c>
      <c r="C18" s="196"/>
      <c r="D18" s="196" t="s">
        <v>284</v>
      </c>
      <c r="E18" s="197"/>
      <c r="F18" s="197"/>
      <c r="G18" s="197"/>
      <c r="H18" s="197" t="s">
        <v>9</v>
      </c>
      <c r="I18" s="196"/>
      <c r="J18" s="411"/>
      <c r="K18" s="74"/>
      <c r="L18" s="62"/>
    </row>
    <row r="19" spans="1:12" ht="19.5" customHeight="1" hidden="1">
      <c r="A19" s="59"/>
      <c r="B19" s="199"/>
      <c r="C19" s="196"/>
      <c r="D19" s="145"/>
      <c r="E19" s="197"/>
      <c r="F19" s="197"/>
      <c r="G19" s="197"/>
      <c r="H19" s="410"/>
      <c r="I19" s="196"/>
      <c r="J19" s="411"/>
      <c r="K19" s="74"/>
      <c r="L19" s="62"/>
    </row>
    <row r="20" spans="1:12" ht="19.5" customHeight="1">
      <c r="A20" s="59">
        <f>Verpflegung_Wechsel!E21</f>
        <v>1</v>
      </c>
      <c r="B20" s="509" t="str">
        <f>IF(Reisedaten!$N$23=TRUE,Verpflegung_Wechsel!B42,Reisedaten!B42)</f>
        <v>Deutschland</v>
      </c>
      <c r="C20" s="510"/>
      <c r="D20" s="507">
        <f>IF(Reisedaten!$N$23=FALSE,Reisedaten!B41,VLOOKUP(A20,Auslandsreisepauschalen!$A$7:$G$250,7))</f>
        <v>20</v>
      </c>
      <c r="E20" s="197"/>
      <c r="F20" s="198"/>
      <c r="G20" s="197"/>
      <c r="H20" s="200"/>
      <c r="I20" s="196"/>
      <c r="J20" s="411">
        <f>H20*D20</f>
        <v>0</v>
      </c>
      <c r="K20" s="74"/>
      <c r="L20" s="62"/>
    </row>
    <row r="21" spans="1:12" ht="19.5" customHeight="1">
      <c r="A21" s="59">
        <f>Verpflegung_Wechsel!A25</f>
        <v>1</v>
      </c>
      <c r="B21" s="195">
        <f>IF(Reisedaten!$N$23=TRUE,Verpflegung_Wechsel!B43,"")</f>
      </c>
      <c r="C21" s="196"/>
      <c r="D21" s="412">
        <f>IF(Reisedaten!$N$23=FALSE,0,VLOOKUP(A21,Auslandsreisepauschalen!$A$7:$G$250,7))</f>
        <v>0</v>
      </c>
      <c r="E21" s="197"/>
      <c r="F21" s="198"/>
      <c r="G21" s="197"/>
      <c r="H21" s="200"/>
      <c r="I21" s="196"/>
      <c r="J21" s="411">
        <f>H21*D21</f>
        <v>0</v>
      </c>
      <c r="K21" s="74"/>
      <c r="L21" s="62"/>
    </row>
    <row r="22" spans="1:12" ht="19.5" customHeight="1">
      <c r="A22" s="59">
        <f>Verpflegung_Wechsel!A27</f>
        <v>1</v>
      </c>
      <c r="B22" s="195">
        <f>IF(Reisedaten!$N$23=TRUE,Verpflegung_Wechsel!B45,"")</f>
      </c>
      <c r="C22" s="196"/>
      <c r="D22" s="412">
        <f>IF(Reisedaten!$N$23=FALSE,0,VLOOKUP(A22,Auslandsreisepauschalen!$A$7:$G$250,7))</f>
        <v>0</v>
      </c>
      <c r="E22" s="197"/>
      <c r="F22" s="198"/>
      <c r="G22" s="197"/>
      <c r="H22" s="200"/>
      <c r="I22" s="196"/>
      <c r="J22" s="411">
        <f>H22*D22</f>
        <v>0</v>
      </c>
      <c r="K22" s="74"/>
      <c r="L22" s="62"/>
    </row>
    <row r="23" spans="1:12" ht="19.5" customHeight="1">
      <c r="A23" s="59">
        <f>Verpflegung_Wechsel!A29</f>
        <v>1</v>
      </c>
      <c r="B23" s="195">
        <f>IF(Reisedaten!$N$23=TRUE,Verpflegung_Wechsel!B47,"")</f>
      </c>
      <c r="C23" s="196"/>
      <c r="D23" s="412">
        <f>IF(Reisedaten!$N$23=FALSE,0,VLOOKUP(A23,Auslandsreisepauschalen!$A$7:$G$250,7))</f>
        <v>0</v>
      </c>
      <c r="E23" s="197"/>
      <c r="F23" s="198"/>
      <c r="G23" s="197"/>
      <c r="H23" s="200"/>
      <c r="I23" s="196"/>
      <c r="J23" s="411">
        <f>H23*D23</f>
        <v>0</v>
      </c>
      <c r="K23" s="74"/>
      <c r="L23" s="62"/>
    </row>
    <row r="24" spans="1:12" ht="19.5" customHeight="1">
      <c r="A24" s="59">
        <f>Verpflegung_Wechsel!A31</f>
        <v>1</v>
      </c>
      <c r="B24" s="195">
        <f>IF(Reisedaten!$N$23=TRUE,Verpflegung_Wechsel!B49,"")</f>
      </c>
      <c r="C24" s="196"/>
      <c r="D24" s="412">
        <f>IF(Reisedaten!$N$23=FALSE,0,VLOOKUP(A24,Auslandsreisepauschalen!$A$7:$G$250,7))</f>
        <v>0</v>
      </c>
      <c r="E24" s="197"/>
      <c r="F24" s="198"/>
      <c r="G24" s="197"/>
      <c r="H24" s="200"/>
      <c r="I24" s="196"/>
      <c r="J24" s="411">
        <f>H24*D24</f>
        <v>0</v>
      </c>
      <c r="K24" s="74"/>
      <c r="L24" s="62"/>
    </row>
    <row r="25" spans="1:12" ht="4.5" customHeight="1">
      <c r="A25" s="59"/>
      <c r="B25" s="195"/>
      <c r="C25" s="196"/>
      <c r="D25" s="412"/>
      <c r="E25" s="197"/>
      <c r="F25" s="198"/>
      <c r="G25" s="198"/>
      <c r="H25" s="198"/>
      <c r="I25" s="196"/>
      <c r="J25" s="411"/>
      <c r="K25" s="74"/>
      <c r="L25" s="62"/>
    </row>
    <row r="26" spans="1:12" ht="19.5" customHeight="1">
      <c r="A26" s="59"/>
      <c r="B26" s="195"/>
      <c r="C26" s="196"/>
      <c r="D26" s="412"/>
      <c r="E26" s="197"/>
      <c r="F26" s="198"/>
      <c r="G26" s="198"/>
      <c r="H26" s="416" t="s">
        <v>1</v>
      </c>
      <c r="I26" s="145"/>
      <c r="J26" s="415">
        <f>SUM(J20:J25)</f>
        <v>0</v>
      </c>
      <c r="K26" s="74"/>
      <c r="L26" s="62"/>
    </row>
    <row r="27" spans="1:17" ht="19.5" customHeight="1">
      <c r="A27" s="59"/>
      <c r="B27" s="404"/>
      <c r="C27" s="405"/>
      <c r="D27" s="405"/>
      <c r="E27" s="405"/>
      <c r="F27" s="406"/>
      <c r="G27" s="407"/>
      <c r="H27" s="407"/>
      <c r="I27" s="407"/>
      <c r="J27" s="408"/>
      <c r="K27" s="62"/>
      <c r="L27" s="62"/>
      <c r="P27" s="21"/>
      <c r="Q27" s="15"/>
    </row>
    <row r="28" spans="2:17" ht="19.5" customHeight="1">
      <c r="B28" s="62"/>
      <c r="C28" s="62"/>
      <c r="D28" s="62"/>
      <c r="E28" s="62"/>
      <c r="F28" s="62"/>
      <c r="G28" s="62"/>
      <c r="H28" s="62"/>
      <c r="I28" s="63"/>
      <c r="J28" s="63"/>
      <c r="K28" s="62"/>
      <c r="L28" s="62"/>
      <c r="P28" s="21"/>
      <c r="Q28" s="15"/>
    </row>
    <row r="29" spans="2:17" ht="19.5" customHeight="1">
      <c r="B29" s="62"/>
      <c r="C29" s="62"/>
      <c r="D29" s="62"/>
      <c r="E29" s="62"/>
      <c r="F29" s="62"/>
      <c r="G29" s="62"/>
      <c r="H29" s="62"/>
      <c r="I29" s="63"/>
      <c r="J29" s="63"/>
      <c r="K29" s="62"/>
      <c r="L29" s="62"/>
      <c r="P29" s="21"/>
      <c r="Q29" s="15"/>
    </row>
    <row r="30" spans="2:17" ht="19.5" customHeight="1">
      <c r="B30" s="62"/>
      <c r="C30" s="62"/>
      <c r="D30" s="62"/>
      <c r="E30" s="62"/>
      <c r="F30" s="62"/>
      <c r="G30" s="62"/>
      <c r="H30" s="62"/>
      <c r="I30" s="63"/>
      <c r="J30" s="63"/>
      <c r="K30" s="62"/>
      <c r="L30" s="62"/>
      <c r="P30" s="21"/>
      <c r="Q30" s="15"/>
    </row>
    <row r="31" spans="2:17" ht="19.5" customHeight="1">
      <c r="B31" s="62"/>
      <c r="C31" s="62"/>
      <c r="D31" s="62"/>
      <c r="E31" s="62"/>
      <c r="F31" s="62"/>
      <c r="G31" s="62"/>
      <c r="H31" s="62"/>
      <c r="I31" s="63"/>
      <c r="J31" s="63"/>
      <c r="K31" s="62"/>
      <c r="L31" s="62"/>
      <c r="P31" s="21"/>
      <c r="Q31" s="15"/>
    </row>
    <row r="32" spans="16:17" ht="19.5" customHeight="1">
      <c r="P32" s="21"/>
      <c r="Q32" s="15"/>
    </row>
    <row r="60" spans="2:16" s="14" customFormat="1" ht="19.5" customHeight="1">
      <c r="B60" s="8"/>
      <c r="C60" s="8"/>
      <c r="D60" s="8"/>
      <c r="E60" s="8"/>
      <c r="F60" s="8"/>
      <c r="G60" s="8"/>
      <c r="H60" s="15"/>
      <c r="K60" s="8"/>
      <c r="L60" s="8"/>
      <c r="M60" s="8"/>
      <c r="N60" s="8"/>
      <c r="O60" s="8"/>
      <c r="P60" s="8"/>
    </row>
    <row r="61" spans="2:16" s="14" customFormat="1" ht="19.5" customHeight="1">
      <c r="B61" s="8"/>
      <c r="C61" s="8"/>
      <c r="D61" s="8"/>
      <c r="E61" s="8"/>
      <c r="F61" s="8"/>
      <c r="G61" s="8"/>
      <c r="H61" s="15"/>
      <c r="K61" s="8"/>
      <c r="L61" s="8"/>
      <c r="M61" s="8"/>
      <c r="N61" s="8"/>
      <c r="O61" s="8"/>
      <c r="P61" s="8"/>
    </row>
    <row r="62" spans="2:16" s="14" customFormat="1" ht="19.5" customHeight="1">
      <c r="B62" s="8"/>
      <c r="C62" s="8"/>
      <c r="D62" s="8"/>
      <c r="E62" s="8"/>
      <c r="F62" s="8"/>
      <c r="G62" s="8"/>
      <c r="H62" s="15"/>
      <c r="K62" s="8"/>
      <c r="L62" s="8"/>
      <c r="M62" s="8"/>
      <c r="N62" s="8"/>
      <c r="O62" s="8"/>
      <c r="P62" s="8"/>
    </row>
    <row r="63" spans="2:16" s="14" customFormat="1" ht="19.5" customHeight="1">
      <c r="B63" s="8"/>
      <c r="C63" s="8"/>
      <c r="D63" s="8"/>
      <c r="E63" s="8"/>
      <c r="F63" s="8"/>
      <c r="G63" s="8"/>
      <c r="H63" s="15"/>
      <c r="K63" s="8"/>
      <c r="L63" s="8"/>
      <c r="M63" s="8"/>
      <c r="N63" s="8"/>
      <c r="O63" s="8"/>
      <c r="P63" s="8"/>
    </row>
    <row r="64" spans="2:16" s="14" customFormat="1" ht="19.5" customHeight="1">
      <c r="B64" s="8"/>
      <c r="C64" s="8"/>
      <c r="D64" s="8"/>
      <c r="E64" s="8"/>
      <c r="F64" s="8"/>
      <c r="G64" s="8"/>
      <c r="H64" s="15"/>
      <c r="K64" s="8"/>
      <c r="L64" s="8"/>
      <c r="M64" s="8"/>
      <c r="N64" s="8"/>
      <c r="O64" s="8"/>
      <c r="P64" s="8"/>
    </row>
    <row r="65" spans="2:16" s="14" customFormat="1" ht="19.5" customHeight="1">
      <c r="B65" s="8"/>
      <c r="C65" s="8"/>
      <c r="D65" s="8"/>
      <c r="E65" s="8"/>
      <c r="F65" s="8"/>
      <c r="G65" s="8"/>
      <c r="H65" s="15"/>
      <c r="K65" s="8"/>
      <c r="L65" s="8"/>
      <c r="M65" s="8"/>
      <c r="N65" s="8"/>
      <c r="O65" s="8"/>
      <c r="P65" s="8"/>
    </row>
    <row r="66" spans="2:16" s="14" customFormat="1" ht="19.5" customHeight="1">
      <c r="B66" s="8"/>
      <c r="C66" s="8"/>
      <c r="D66" s="8"/>
      <c r="E66" s="8"/>
      <c r="F66" s="8"/>
      <c r="G66" s="8"/>
      <c r="H66" s="15"/>
      <c r="K66" s="8"/>
      <c r="L66" s="8"/>
      <c r="M66" s="8"/>
      <c r="N66" s="8"/>
      <c r="O66" s="8"/>
      <c r="P66" s="8"/>
    </row>
    <row r="67" spans="2:16" s="14" customFormat="1" ht="19.5" customHeight="1">
      <c r="B67" s="8"/>
      <c r="C67" s="8"/>
      <c r="D67" s="8"/>
      <c r="E67" s="8"/>
      <c r="F67" s="8"/>
      <c r="G67" s="8"/>
      <c r="H67" s="15"/>
      <c r="K67" s="8"/>
      <c r="L67" s="8"/>
      <c r="M67" s="8"/>
      <c r="N67" s="8"/>
      <c r="O67" s="8"/>
      <c r="P67" s="8"/>
    </row>
    <row r="68" spans="2:16" s="14" customFormat="1" ht="19.5" customHeight="1">
      <c r="B68" s="8"/>
      <c r="C68" s="8"/>
      <c r="D68" s="8"/>
      <c r="E68" s="8"/>
      <c r="F68" s="8"/>
      <c r="G68" s="8"/>
      <c r="H68" s="15"/>
      <c r="K68" s="8"/>
      <c r="L68" s="8"/>
      <c r="M68" s="8"/>
      <c r="N68" s="8"/>
      <c r="O68" s="8"/>
      <c r="P68" s="8"/>
    </row>
    <row r="69" spans="2:16" s="14" customFormat="1" ht="19.5" customHeight="1">
      <c r="B69" s="8"/>
      <c r="C69" s="8"/>
      <c r="D69" s="8"/>
      <c r="E69" s="8"/>
      <c r="F69" s="8"/>
      <c r="G69" s="8"/>
      <c r="H69" s="15"/>
      <c r="K69" s="8"/>
      <c r="L69" s="8"/>
      <c r="M69" s="8"/>
      <c r="N69" s="8"/>
      <c r="O69" s="8"/>
      <c r="P69" s="8"/>
    </row>
    <row r="70" spans="2:16" s="14" customFormat="1" ht="19.5" customHeight="1">
      <c r="B70" s="8"/>
      <c r="C70" s="8"/>
      <c r="D70" s="8"/>
      <c r="E70" s="8"/>
      <c r="F70" s="8"/>
      <c r="G70" s="8"/>
      <c r="H70" s="15"/>
      <c r="K70" s="8"/>
      <c r="L70" s="8"/>
      <c r="M70" s="8"/>
      <c r="N70" s="8"/>
      <c r="O70" s="8"/>
      <c r="P70" s="8"/>
    </row>
    <row r="71" spans="2:16" s="14" customFormat="1" ht="19.5" customHeight="1">
      <c r="B71" s="8"/>
      <c r="C71" s="8"/>
      <c r="D71" s="8"/>
      <c r="E71" s="8"/>
      <c r="F71" s="8"/>
      <c r="G71" s="8"/>
      <c r="H71" s="15"/>
      <c r="K71" s="8"/>
      <c r="L71" s="8"/>
      <c r="M71" s="8"/>
      <c r="N71" s="8"/>
      <c r="O71" s="8"/>
      <c r="P71" s="8"/>
    </row>
    <row r="72" spans="2:16" s="14" customFormat="1" ht="19.5" customHeight="1">
      <c r="B72" s="8"/>
      <c r="C72" s="8"/>
      <c r="D72" s="8"/>
      <c r="E72" s="8"/>
      <c r="F72" s="8"/>
      <c r="G72" s="8"/>
      <c r="H72" s="15"/>
      <c r="K72" s="8"/>
      <c r="L72" s="8"/>
      <c r="M72" s="8"/>
      <c r="N72" s="8"/>
      <c r="O72" s="8"/>
      <c r="P72" s="8"/>
    </row>
    <row r="73" spans="2:16" s="14" customFormat="1" ht="19.5" customHeight="1">
      <c r="B73" s="8"/>
      <c r="C73" s="8"/>
      <c r="D73" s="8"/>
      <c r="E73" s="8"/>
      <c r="F73" s="8"/>
      <c r="G73" s="8"/>
      <c r="H73" s="15"/>
      <c r="K73" s="8"/>
      <c r="L73" s="8"/>
      <c r="M73" s="8"/>
      <c r="N73" s="8"/>
      <c r="O73" s="8"/>
      <c r="P73" s="8"/>
    </row>
    <row r="74" spans="2:16" s="14" customFormat="1" ht="19.5" customHeight="1">
      <c r="B74" s="8"/>
      <c r="C74" s="8"/>
      <c r="D74" s="8"/>
      <c r="E74" s="8"/>
      <c r="F74" s="8"/>
      <c r="G74" s="8"/>
      <c r="H74" s="15"/>
      <c r="K74" s="8"/>
      <c r="L74" s="8"/>
      <c r="M74" s="8"/>
      <c r="N74" s="8"/>
      <c r="O74" s="8"/>
      <c r="P74" s="8"/>
    </row>
    <row r="75" spans="2:16" s="14" customFormat="1" ht="19.5" customHeight="1">
      <c r="B75" s="8"/>
      <c r="C75" s="8"/>
      <c r="D75" s="8"/>
      <c r="E75" s="8"/>
      <c r="F75" s="8"/>
      <c r="G75" s="8"/>
      <c r="H75" s="15"/>
      <c r="K75" s="8"/>
      <c r="L75" s="8"/>
      <c r="M75" s="8"/>
      <c r="N75" s="8"/>
      <c r="O75" s="8"/>
      <c r="P75" s="8"/>
    </row>
    <row r="76" spans="2:16" s="14" customFormat="1" ht="19.5" customHeight="1">
      <c r="B76" s="8"/>
      <c r="C76" s="8"/>
      <c r="D76" s="8"/>
      <c r="E76" s="8"/>
      <c r="F76" s="8"/>
      <c r="G76" s="8"/>
      <c r="H76" s="15"/>
      <c r="K76" s="8"/>
      <c r="L76" s="8"/>
      <c r="M76" s="8"/>
      <c r="N76" s="8"/>
      <c r="O76" s="8"/>
      <c r="P76" s="8"/>
    </row>
    <row r="77" spans="2:16" s="14" customFormat="1" ht="19.5" customHeight="1">
      <c r="B77" s="8"/>
      <c r="C77" s="8"/>
      <c r="D77" s="8"/>
      <c r="E77" s="8"/>
      <c r="F77" s="8"/>
      <c r="G77" s="8"/>
      <c r="H77" s="15"/>
      <c r="K77" s="8"/>
      <c r="L77" s="8"/>
      <c r="M77" s="8"/>
      <c r="N77" s="8"/>
      <c r="O77" s="8"/>
      <c r="P77" s="8"/>
    </row>
    <row r="78" spans="2:16" s="14" customFormat="1" ht="19.5" customHeight="1">
      <c r="B78" s="8"/>
      <c r="C78" s="8"/>
      <c r="D78" s="8"/>
      <c r="E78" s="8"/>
      <c r="F78" s="8"/>
      <c r="G78" s="8"/>
      <c r="H78" s="15"/>
      <c r="K78" s="8"/>
      <c r="L78" s="8"/>
      <c r="M78" s="8"/>
      <c r="N78" s="8"/>
      <c r="O78" s="8"/>
      <c r="P78" s="8"/>
    </row>
    <row r="79" spans="2:16" s="14" customFormat="1" ht="19.5" customHeight="1">
      <c r="B79" s="8"/>
      <c r="C79" s="8"/>
      <c r="D79" s="8"/>
      <c r="E79" s="8"/>
      <c r="F79" s="8"/>
      <c r="G79" s="8"/>
      <c r="H79" s="15"/>
      <c r="K79" s="8"/>
      <c r="L79" s="8"/>
      <c r="M79" s="8"/>
      <c r="N79" s="8"/>
      <c r="O79" s="8"/>
      <c r="P79" s="8"/>
    </row>
    <row r="80" spans="2:16" s="14" customFormat="1" ht="19.5" customHeight="1">
      <c r="B80" s="8"/>
      <c r="C80" s="8"/>
      <c r="D80" s="8"/>
      <c r="E80" s="8"/>
      <c r="F80" s="8"/>
      <c r="G80" s="8"/>
      <c r="H80" s="15"/>
      <c r="K80" s="8"/>
      <c r="L80" s="8"/>
      <c r="M80" s="8"/>
      <c r="N80" s="8"/>
      <c r="O80" s="8"/>
      <c r="P80" s="8"/>
    </row>
    <row r="81" spans="2:16" s="14" customFormat="1" ht="19.5" customHeight="1">
      <c r="B81" s="8"/>
      <c r="C81" s="8"/>
      <c r="D81" s="8"/>
      <c r="E81" s="8"/>
      <c r="F81" s="8"/>
      <c r="G81" s="8"/>
      <c r="H81" s="15"/>
      <c r="K81" s="8"/>
      <c r="L81" s="8"/>
      <c r="M81" s="8"/>
      <c r="N81" s="8"/>
      <c r="O81" s="8"/>
      <c r="P81" s="8"/>
    </row>
    <row r="82" spans="2:16" s="14" customFormat="1" ht="19.5" customHeight="1">
      <c r="B82" s="8"/>
      <c r="C82" s="8"/>
      <c r="D82" s="8"/>
      <c r="E82" s="8"/>
      <c r="F82" s="8"/>
      <c r="G82" s="8"/>
      <c r="H82" s="15"/>
      <c r="K82" s="8"/>
      <c r="L82" s="8"/>
      <c r="M82" s="8"/>
      <c r="N82" s="8"/>
      <c r="O82" s="8"/>
      <c r="P82" s="8"/>
    </row>
    <row r="83" spans="2:16" s="14" customFormat="1" ht="19.5" customHeight="1">
      <c r="B83" s="8"/>
      <c r="C83" s="8"/>
      <c r="D83" s="8"/>
      <c r="E83" s="8"/>
      <c r="F83" s="8"/>
      <c r="G83" s="8"/>
      <c r="H83" s="15"/>
      <c r="K83" s="8"/>
      <c r="L83" s="8"/>
      <c r="M83" s="8"/>
      <c r="N83" s="8"/>
      <c r="O83" s="8"/>
      <c r="P83" s="8"/>
    </row>
    <row r="84" spans="2:16" s="14" customFormat="1" ht="19.5" customHeight="1">
      <c r="B84" s="8"/>
      <c r="C84" s="8"/>
      <c r="D84" s="8"/>
      <c r="E84" s="8"/>
      <c r="F84" s="8"/>
      <c r="G84" s="8"/>
      <c r="H84" s="15"/>
      <c r="K84" s="8"/>
      <c r="L84" s="8"/>
      <c r="M84" s="8"/>
      <c r="N84" s="8"/>
      <c r="O84" s="8"/>
      <c r="P84" s="8"/>
    </row>
    <row r="85" spans="2:16" s="14" customFormat="1" ht="19.5" customHeight="1">
      <c r="B85" s="8"/>
      <c r="C85" s="8"/>
      <c r="D85" s="8"/>
      <c r="E85" s="8"/>
      <c r="F85" s="8"/>
      <c r="G85" s="8"/>
      <c r="H85" s="15"/>
      <c r="K85" s="8"/>
      <c r="L85" s="8"/>
      <c r="M85" s="8"/>
      <c r="N85" s="8"/>
      <c r="O85" s="8"/>
      <c r="P85" s="8"/>
    </row>
    <row r="86" spans="2:16" s="14" customFormat="1" ht="19.5" customHeight="1">
      <c r="B86" s="8"/>
      <c r="C86" s="8"/>
      <c r="D86" s="8"/>
      <c r="E86" s="8"/>
      <c r="F86" s="8"/>
      <c r="G86" s="8"/>
      <c r="H86" s="15"/>
      <c r="K86" s="8"/>
      <c r="L86" s="8"/>
      <c r="M86" s="8"/>
      <c r="N86" s="8"/>
      <c r="O86" s="8"/>
      <c r="P86" s="8"/>
    </row>
    <row r="87" spans="2:16" s="14" customFormat="1" ht="19.5" customHeight="1">
      <c r="B87" s="8"/>
      <c r="C87" s="8"/>
      <c r="D87" s="8"/>
      <c r="E87" s="8"/>
      <c r="F87" s="8"/>
      <c r="G87" s="8"/>
      <c r="H87" s="15"/>
      <c r="K87" s="8"/>
      <c r="L87" s="8"/>
      <c r="M87" s="8"/>
      <c r="N87" s="8"/>
      <c r="O87" s="8"/>
      <c r="P87" s="8"/>
    </row>
    <row r="88" spans="2:16" s="14" customFormat="1" ht="19.5" customHeight="1">
      <c r="B88" s="8"/>
      <c r="C88" s="8"/>
      <c r="D88" s="8"/>
      <c r="E88" s="8"/>
      <c r="F88" s="8"/>
      <c r="G88" s="8"/>
      <c r="H88" s="15"/>
      <c r="K88" s="8"/>
      <c r="L88" s="8"/>
      <c r="M88" s="8"/>
      <c r="N88" s="8"/>
      <c r="O88" s="8"/>
      <c r="P88" s="8"/>
    </row>
    <row r="89" spans="2:16" s="14" customFormat="1" ht="19.5" customHeight="1">
      <c r="B89" s="8"/>
      <c r="C89" s="8"/>
      <c r="D89" s="8"/>
      <c r="E89" s="8"/>
      <c r="F89" s="8"/>
      <c r="G89" s="8"/>
      <c r="H89" s="15"/>
      <c r="K89" s="8"/>
      <c r="L89" s="8"/>
      <c r="M89" s="8"/>
      <c r="N89" s="8"/>
      <c r="O89" s="8"/>
      <c r="P89" s="8"/>
    </row>
    <row r="90" spans="2:16" s="14" customFormat="1" ht="19.5" customHeight="1">
      <c r="B90" s="8"/>
      <c r="C90" s="8"/>
      <c r="D90" s="8"/>
      <c r="E90" s="8"/>
      <c r="F90" s="8"/>
      <c r="G90" s="8"/>
      <c r="H90" s="15"/>
      <c r="K90" s="8"/>
      <c r="L90" s="8"/>
      <c r="M90" s="8"/>
      <c r="N90" s="8"/>
      <c r="O90" s="8"/>
      <c r="P90" s="8"/>
    </row>
  </sheetData>
  <sheetProtection password="C811" sheet="1" selectLockedCells="1"/>
  <mergeCells count="7">
    <mergeCell ref="D12:F12"/>
    <mergeCell ref="B6:I6"/>
    <mergeCell ref="D7:F7"/>
    <mergeCell ref="D8:F8"/>
    <mergeCell ref="D9:F9"/>
    <mergeCell ref="D10:F10"/>
    <mergeCell ref="D11:F11"/>
  </mergeCells>
  <printOptions horizontalCentered="1"/>
  <pageMargins left="0.6299212598425197" right="0.2755905511811024" top="0.5118110236220472" bottom="0.2755905511811024" header="0.5118110236220472" footer="0.3937007874015748"/>
  <pageSetup cellComments="asDisplayed" fitToHeight="1" fitToWidth="1" horizontalDpi="600" verticalDpi="600" orientation="portrait" paperSize="9" scale="77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2:K60"/>
  <sheetViews>
    <sheetView showGridLines="0" showRowColHeaders="0" showZeros="0" zoomScalePageLayoutView="0" workbookViewId="0" topLeftCell="A1">
      <selection activeCell="B6" sqref="B6"/>
    </sheetView>
  </sheetViews>
  <sheetFormatPr defaultColWidth="11.421875" defaultRowHeight="12.75"/>
  <cols>
    <col min="1" max="1" width="1.8515625" style="0" customWidth="1"/>
    <col min="2" max="2" width="10.00390625" style="0" customWidth="1"/>
    <col min="3" max="3" width="7.57421875" style="33" customWidth="1"/>
    <col min="4" max="4" width="77.421875" style="0" customWidth="1"/>
    <col min="6" max="11" width="11.421875" style="1" customWidth="1"/>
  </cols>
  <sheetData>
    <row r="2" spans="2:11" s="3" customFormat="1" ht="18.75">
      <c r="B2" s="268" t="s">
        <v>7</v>
      </c>
      <c r="C2" s="237"/>
      <c r="D2" s="68"/>
      <c r="E2" s="68"/>
      <c r="F2" s="1"/>
      <c r="G2" s="1"/>
      <c r="H2" s="1"/>
      <c r="I2" s="1"/>
      <c r="J2" s="1"/>
      <c r="K2" s="1"/>
    </row>
    <row r="3" spans="2:5" s="1" customFormat="1" ht="9.75" customHeight="1">
      <c r="B3" s="72"/>
      <c r="C3" s="238"/>
      <c r="D3" s="65"/>
      <c r="E3" s="65"/>
    </row>
    <row r="4" spans="2:11" s="4" customFormat="1" ht="28.5" customHeight="1">
      <c r="B4" s="251" t="s">
        <v>16</v>
      </c>
      <c r="C4" s="239" t="s">
        <v>14</v>
      </c>
      <c r="D4" s="131" t="s">
        <v>2</v>
      </c>
      <c r="E4" s="239" t="s">
        <v>15</v>
      </c>
      <c r="F4" s="1"/>
      <c r="G4" s="1"/>
      <c r="H4" s="1"/>
      <c r="I4" s="1"/>
      <c r="J4" s="1"/>
      <c r="K4" s="1"/>
    </row>
    <row r="5" spans="2:5" s="1" customFormat="1" ht="9" customHeight="1">
      <c r="B5" s="240"/>
      <c r="C5" s="241"/>
      <c r="D5" s="126"/>
      <c r="E5" s="242"/>
    </row>
    <row r="6" spans="2:7" s="1" customFormat="1" ht="21" customHeight="1">
      <c r="B6" s="243"/>
      <c r="C6" s="244"/>
      <c r="D6" s="243"/>
      <c r="E6" s="245"/>
      <c r="G6" s="34"/>
    </row>
    <row r="7" spans="2:5" s="1" customFormat="1" ht="21" customHeight="1">
      <c r="B7" s="243"/>
      <c r="C7" s="244"/>
      <c r="D7" s="243"/>
      <c r="E7" s="245"/>
    </row>
    <row r="8" spans="2:5" s="1" customFormat="1" ht="21" customHeight="1">
      <c r="B8" s="243"/>
      <c r="C8" s="244"/>
      <c r="D8" s="243"/>
      <c r="E8" s="245"/>
    </row>
    <row r="9" spans="2:5" s="1" customFormat="1" ht="21" customHeight="1">
      <c r="B9" s="243"/>
      <c r="C9" s="244"/>
      <c r="D9" s="243"/>
      <c r="E9" s="245"/>
    </row>
    <row r="10" spans="2:5" s="1" customFormat="1" ht="21" customHeight="1">
      <c r="B10" s="243"/>
      <c r="C10" s="244"/>
      <c r="D10" s="243"/>
      <c r="E10" s="245"/>
    </row>
    <row r="11" spans="2:5" s="1" customFormat="1" ht="21" customHeight="1">
      <c r="B11" s="243"/>
      <c r="C11" s="244"/>
      <c r="D11" s="243"/>
      <c r="E11" s="245"/>
    </row>
    <row r="12" spans="2:5" s="1" customFormat="1" ht="21" customHeight="1">
      <c r="B12" s="243"/>
      <c r="C12" s="244"/>
      <c r="D12" s="243"/>
      <c r="E12" s="245"/>
    </row>
    <row r="13" spans="2:5" s="1" customFormat="1" ht="21" customHeight="1">
      <c r="B13" s="243"/>
      <c r="C13" s="244"/>
      <c r="D13" s="243"/>
      <c r="E13" s="245"/>
    </row>
    <row r="14" spans="2:5" s="1" customFormat="1" ht="21" customHeight="1">
      <c r="B14" s="243"/>
      <c r="C14" s="244"/>
      <c r="D14" s="243"/>
      <c r="E14" s="245"/>
    </row>
    <row r="15" spans="2:5" s="1" customFormat="1" ht="21" customHeight="1">
      <c r="B15" s="243"/>
      <c r="C15" s="244"/>
      <c r="D15" s="243"/>
      <c r="E15" s="245"/>
    </row>
    <row r="16" spans="2:5" s="1" customFormat="1" ht="21" customHeight="1">
      <c r="B16" s="243"/>
      <c r="C16" s="244"/>
      <c r="D16" s="243"/>
      <c r="E16" s="245"/>
    </row>
    <row r="17" spans="2:5" s="1" customFormat="1" ht="21" customHeight="1">
      <c r="B17" s="243"/>
      <c r="C17" s="244"/>
      <c r="D17" s="243"/>
      <c r="E17" s="245"/>
    </row>
    <row r="18" spans="2:5" s="1" customFormat="1" ht="21" customHeight="1">
      <c r="B18" s="243"/>
      <c r="C18" s="244"/>
      <c r="D18" s="243"/>
      <c r="E18" s="245"/>
    </row>
    <row r="19" spans="2:5" s="1" customFormat="1" ht="21" customHeight="1">
      <c r="B19" s="243"/>
      <c r="C19" s="244"/>
      <c r="D19" s="243"/>
      <c r="E19" s="245"/>
    </row>
    <row r="20" spans="2:5" s="1" customFormat="1" ht="21" customHeight="1">
      <c r="B20" s="243"/>
      <c r="C20" s="244"/>
      <c r="D20" s="243"/>
      <c r="E20" s="245"/>
    </row>
    <row r="21" spans="2:5" s="1" customFormat="1" ht="21" customHeight="1">
      <c r="B21" s="243"/>
      <c r="C21" s="244"/>
      <c r="D21" s="243"/>
      <c r="E21" s="245"/>
    </row>
    <row r="22" spans="2:5" s="1" customFormat="1" ht="21" customHeight="1">
      <c r="B22" s="243"/>
      <c r="C22" s="244"/>
      <c r="D22" s="243"/>
      <c r="E22" s="245"/>
    </row>
    <row r="23" spans="2:5" s="1" customFormat="1" ht="21" customHeight="1">
      <c r="B23" s="243"/>
      <c r="C23" s="244"/>
      <c r="D23" s="243"/>
      <c r="E23" s="245"/>
    </row>
    <row r="24" spans="2:5" s="1" customFormat="1" ht="21" customHeight="1">
      <c r="B24" s="243"/>
      <c r="C24" s="244"/>
      <c r="D24" s="243"/>
      <c r="E24" s="245"/>
    </row>
    <row r="25" spans="2:5" s="1" customFormat="1" ht="21" customHeight="1">
      <c r="B25" s="243"/>
      <c r="C25" s="244"/>
      <c r="D25" s="243"/>
      <c r="E25" s="245"/>
    </row>
    <row r="26" spans="2:5" s="1" customFormat="1" ht="21" customHeight="1">
      <c r="B26" s="243"/>
      <c r="C26" s="244"/>
      <c r="D26" s="243"/>
      <c r="E26" s="245"/>
    </row>
    <row r="27" spans="2:5" s="1" customFormat="1" ht="21" customHeight="1">
      <c r="B27" s="243"/>
      <c r="C27" s="244"/>
      <c r="D27" s="243"/>
      <c r="E27" s="245"/>
    </row>
    <row r="28" spans="2:5" s="1" customFormat="1" ht="21" customHeight="1">
      <c r="B28" s="243"/>
      <c r="C28" s="244"/>
      <c r="D28" s="243"/>
      <c r="E28" s="245"/>
    </row>
    <row r="29" spans="2:5" s="1" customFormat="1" ht="21" customHeight="1">
      <c r="B29" s="243"/>
      <c r="C29" s="244"/>
      <c r="D29" s="243"/>
      <c r="E29" s="245"/>
    </row>
    <row r="30" spans="2:5" s="1" customFormat="1" ht="21" customHeight="1">
      <c r="B30" s="243"/>
      <c r="C30" s="244"/>
      <c r="D30" s="243"/>
      <c r="E30" s="245"/>
    </row>
    <row r="31" spans="2:11" s="4" customFormat="1" ht="21" customHeight="1">
      <c r="B31" s="246"/>
      <c r="C31" s="247"/>
      <c r="D31" s="246" t="s">
        <v>3</v>
      </c>
      <c r="E31" s="248">
        <f>SUM(E6:E30)</f>
        <v>0</v>
      </c>
      <c r="F31" s="54"/>
      <c r="G31" s="1"/>
      <c r="H31" s="1"/>
      <c r="I31" s="1"/>
      <c r="J31" s="1"/>
      <c r="K31" s="1"/>
    </row>
    <row r="32" spans="2:6" ht="12.75">
      <c r="B32" s="249"/>
      <c r="C32" s="250"/>
      <c r="D32" s="249"/>
      <c r="E32" s="249"/>
      <c r="F32" s="54"/>
    </row>
    <row r="33" spans="2:6" ht="12.75">
      <c r="B33" s="55"/>
      <c r="C33" s="56"/>
      <c r="D33" s="55"/>
      <c r="E33" s="55"/>
      <c r="F33" s="54"/>
    </row>
    <row r="34" spans="2:6" ht="12.75">
      <c r="B34" s="55"/>
      <c r="C34" s="56"/>
      <c r="D34" s="55"/>
      <c r="E34" s="55"/>
      <c r="F34" s="54"/>
    </row>
    <row r="35" spans="2:6" ht="12.75">
      <c r="B35" s="55"/>
      <c r="C35" s="56"/>
      <c r="D35" s="55"/>
      <c r="E35" s="55"/>
      <c r="F35" s="54"/>
    </row>
    <row r="36" spans="2:6" ht="12.75">
      <c r="B36" s="55"/>
      <c r="C36" s="56"/>
      <c r="D36" s="55"/>
      <c r="E36" s="55"/>
      <c r="F36" s="54"/>
    </row>
    <row r="37" spans="2:6" ht="12.75">
      <c r="B37" s="55"/>
      <c r="C37" s="56"/>
      <c r="D37" s="55"/>
      <c r="E37" s="55"/>
      <c r="F37" s="54"/>
    </row>
    <row r="38" spans="2:6" ht="12.75">
      <c r="B38" s="55"/>
      <c r="C38" s="56"/>
      <c r="D38" s="55"/>
      <c r="E38" s="55"/>
      <c r="F38" s="54"/>
    </row>
    <row r="39" spans="2:6" ht="12.75">
      <c r="B39" s="55"/>
      <c r="C39" s="56"/>
      <c r="D39" s="55"/>
      <c r="E39" s="55"/>
      <c r="F39" s="54"/>
    </row>
    <row r="40" spans="2:6" ht="12.75">
      <c r="B40" s="55"/>
      <c r="C40" s="56"/>
      <c r="D40" s="55"/>
      <c r="E40" s="55"/>
      <c r="F40" s="54"/>
    </row>
    <row r="41" spans="2:6" ht="12.75">
      <c r="B41" s="55"/>
      <c r="C41" s="56"/>
      <c r="D41" s="55"/>
      <c r="E41" s="55"/>
      <c r="F41" s="54"/>
    </row>
    <row r="42" spans="2:6" ht="12.75">
      <c r="B42" s="55"/>
      <c r="C42" s="56"/>
      <c r="D42" s="55"/>
      <c r="E42" s="55"/>
      <c r="F42" s="54"/>
    </row>
    <row r="43" spans="2:6" ht="12.75">
      <c r="B43" s="55"/>
      <c r="C43" s="56"/>
      <c r="D43" s="55"/>
      <c r="E43" s="55"/>
      <c r="F43" s="54"/>
    </row>
    <row r="44" spans="2:6" ht="12.75">
      <c r="B44" s="55"/>
      <c r="C44" s="56"/>
      <c r="D44" s="55"/>
      <c r="E44" s="55"/>
      <c r="F44" s="54"/>
    </row>
    <row r="45" spans="2:6" ht="12.75">
      <c r="B45" s="55"/>
      <c r="C45" s="56"/>
      <c r="D45" s="55"/>
      <c r="E45" s="55"/>
      <c r="F45" s="54"/>
    </row>
    <row r="46" spans="2:6" ht="12.75">
      <c r="B46" s="55"/>
      <c r="C46" s="56"/>
      <c r="D46" s="55"/>
      <c r="E46" s="55"/>
      <c r="F46" s="54"/>
    </row>
    <row r="47" spans="2:6" ht="12.75">
      <c r="B47" s="55"/>
      <c r="C47" s="56"/>
      <c r="D47" s="55"/>
      <c r="E47" s="55"/>
      <c r="F47" s="54"/>
    </row>
    <row r="48" spans="2:6" ht="12.75">
      <c r="B48" s="55"/>
      <c r="C48" s="56"/>
      <c r="D48" s="55"/>
      <c r="E48" s="55"/>
      <c r="F48" s="54"/>
    </row>
    <row r="49" spans="2:6" ht="12.75">
      <c r="B49" s="55"/>
      <c r="C49" s="56"/>
      <c r="D49" s="55"/>
      <c r="E49" s="55"/>
      <c r="F49" s="54"/>
    </row>
    <row r="50" spans="2:6" ht="12.75">
      <c r="B50" s="55"/>
      <c r="C50" s="56"/>
      <c r="D50" s="55"/>
      <c r="E50" s="55"/>
      <c r="F50" s="54"/>
    </row>
    <row r="51" spans="2:6" ht="12.75">
      <c r="B51" s="55"/>
      <c r="C51" s="56"/>
      <c r="D51" s="55"/>
      <c r="E51" s="55"/>
      <c r="F51" s="54"/>
    </row>
    <row r="52" spans="2:6" ht="12.75">
      <c r="B52" s="55"/>
      <c r="C52" s="56"/>
      <c r="D52" s="55"/>
      <c r="E52" s="55"/>
      <c r="F52" s="54"/>
    </row>
    <row r="53" spans="2:6" ht="12.75">
      <c r="B53" s="55"/>
      <c r="C53" s="56"/>
      <c r="D53" s="55"/>
      <c r="E53" s="55"/>
      <c r="F53" s="54"/>
    </row>
    <row r="54" spans="2:6" ht="12.75">
      <c r="B54" s="55"/>
      <c r="C54" s="56"/>
      <c r="D54" s="55"/>
      <c r="E54" s="55"/>
      <c r="F54" s="54"/>
    </row>
    <row r="55" spans="2:6" ht="12.75">
      <c r="B55" s="55"/>
      <c r="C55" s="56"/>
      <c r="D55" s="55"/>
      <c r="E55" s="55"/>
      <c r="F55" s="54"/>
    </row>
    <row r="56" spans="2:6" ht="12.75">
      <c r="B56" s="55"/>
      <c r="C56" s="56"/>
      <c r="D56" s="55"/>
      <c r="E56" s="55"/>
      <c r="F56" s="54"/>
    </row>
    <row r="57" spans="2:6" ht="12.75">
      <c r="B57" s="55"/>
      <c r="C57" s="56"/>
      <c r="D57" s="55"/>
      <c r="E57" s="55"/>
      <c r="F57" s="54"/>
    </row>
    <row r="58" spans="2:6" ht="12.75">
      <c r="B58" s="55"/>
      <c r="C58" s="56"/>
      <c r="D58" s="55"/>
      <c r="E58" s="55"/>
      <c r="F58" s="54"/>
    </row>
    <row r="59" spans="2:6" ht="12.75">
      <c r="B59" s="55"/>
      <c r="C59" s="56"/>
      <c r="D59" s="55"/>
      <c r="E59" s="55"/>
      <c r="F59" s="54"/>
    </row>
    <row r="60" spans="2:6" ht="12.75">
      <c r="B60" s="55"/>
      <c r="C60" s="56"/>
      <c r="D60" s="55"/>
      <c r="E60" s="55"/>
      <c r="F60" s="54"/>
    </row>
  </sheetData>
  <sheetProtection password="A568"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76"/>
  <sheetViews>
    <sheetView showGridLines="0" showRowColHeaders="0" showZeros="0" zoomScalePageLayoutView="0" workbookViewId="0" topLeftCell="A1">
      <selection activeCell="D18" sqref="D18"/>
    </sheetView>
  </sheetViews>
  <sheetFormatPr defaultColWidth="11.421875" defaultRowHeight="19.5" customHeight="1"/>
  <cols>
    <col min="1" max="1" width="1.28515625" style="8" customWidth="1"/>
    <col min="2" max="2" width="30.00390625" style="8" customWidth="1"/>
    <col min="3" max="3" width="11.7109375" style="8" customWidth="1"/>
    <col min="4" max="4" width="25.140625" style="8" customWidth="1"/>
    <col min="5" max="5" width="18.28125" style="8" customWidth="1"/>
    <col min="6" max="6" width="10.28125" style="14" customWidth="1"/>
    <col min="7" max="7" width="8.7109375" style="14" customWidth="1"/>
    <col min="8" max="16384" width="11.421875" style="8" customWidth="1"/>
  </cols>
  <sheetData>
    <row r="1" spans="2:10" ht="12.75" customHeight="1">
      <c r="B1" s="62"/>
      <c r="C1" s="62"/>
      <c r="D1" s="62"/>
      <c r="E1" s="62"/>
      <c r="F1" s="63"/>
      <c r="G1" s="63"/>
      <c r="H1" s="62"/>
      <c r="I1" s="62"/>
      <c r="J1" s="62"/>
    </row>
    <row r="2" spans="2:10" s="7" customFormat="1" ht="19.5" customHeight="1">
      <c r="B2" s="64" t="s">
        <v>509</v>
      </c>
      <c r="C2" s="64"/>
      <c r="D2" s="64"/>
      <c r="E2" s="64"/>
      <c r="F2" s="65"/>
      <c r="G2" s="65"/>
      <c r="H2" s="65"/>
      <c r="I2" s="65"/>
      <c r="J2" s="65"/>
    </row>
    <row r="3" spans="2:10" s="7" customFormat="1" ht="19.5" customHeight="1">
      <c r="B3" s="64"/>
      <c r="C3" s="64"/>
      <c r="D3" s="64"/>
      <c r="E3" s="64"/>
      <c r="F3" s="65"/>
      <c r="G3" s="65"/>
      <c r="H3" s="65"/>
      <c r="I3" s="65"/>
      <c r="J3" s="65"/>
    </row>
    <row r="4" spans="2:10" s="7" customFormat="1" ht="30" customHeight="1">
      <c r="B4" s="66" t="str">
        <f>PersönlicheEingaben_Pauschalen!$C$6</f>
        <v>Anton Muster GmbH</v>
      </c>
      <c r="C4" s="66"/>
      <c r="D4" s="66" t="s">
        <v>348</v>
      </c>
      <c r="E4" s="67"/>
      <c r="F4" s="68"/>
      <c r="G4" s="68"/>
      <c r="H4" s="68"/>
      <c r="I4" s="68"/>
      <c r="J4" s="65"/>
    </row>
    <row r="5" spans="2:10" s="7" customFormat="1" ht="9" customHeight="1">
      <c r="B5" s="64"/>
      <c r="C5" s="64"/>
      <c r="D5" s="64"/>
      <c r="E5" s="64"/>
      <c r="F5" s="65"/>
      <c r="G5" s="65"/>
      <c r="H5" s="65"/>
      <c r="I5" s="65"/>
      <c r="J5" s="65"/>
    </row>
    <row r="6" spans="2:10" ht="19.5" customHeight="1">
      <c r="B6" s="119" t="str">
        <f>"Personal-Nr.: "&amp;PersönlicheEingaben_Pauschalen!$C$10</f>
        <v>Personal-Nr.: 14711</v>
      </c>
      <c r="C6" s="119"/>
      <c r="D6" s="607" t="str">
        <f>"Abt.: "&amp;PersönlicheEingaben_Pauschalen!$C$12</f>
        <v>Abt.: Internes Rechnungswesen</v>
      </c>
      <c r="E6" s="607"/>
      <c r="F6" s="607" t="str">
        <f>"Kostenstelle: "&amp;PersönlicheEingaben_Pauschalen!$C$14</f>
        <v>Kostenstelle: 14</v>
      </c>
      <c r="G6" s="607"/>
      <c r="H6" s="607"/>
      <c r="I6" s="70"/>
      <c r="J6" s="62"/>
    </row>
    <row r="7" spans="2:10" ht="15.75" customHeight="1">
      <c r="B7" s="69" t="str">
        <f>PersönlicheEingaben_Pauschalen!C8</f>
        <v>Hugo Beispiel</v>
      </c>
      <c r="C7" s="69"/>
      <c r="D7" s="71"/>
      <c r="E7" s="71"/>
      <c r="F7" s="71"/>
      <c r="G7" s="71"/>
      <c r="H7" s="70"/>
      <c r="I7" s="70"/>
      <c r="J7" s="62"/>
    </row>
    <row r="8" spans="2:10" ht="19.5" customHeight="1">
      <c r="B8" s="120" t="str">
        <f>PersönlicheEingaben_Pauschalen!C16</f>
        <v>Beispielgasse 12</v>
      </c>
      <c r="C8" s="120"/>
      <c r="D8" s="120" t="str">
        <f>PersönlicheEingaben_Pauschalen!C18</f>
        <v>50000 Beispielhausen</v>
      </c>
      <c r="E8" s="120"/>
      <c r="F8" s="120"/>
      <c r="G8" s="120"/>
      <c r="H8" s="62"/>
      <c r="I8" s="62"/>
      <c r="J8" s="62"/>
    </row>
    <row r="9" spans="2:10" ht="19.5" customHeight="1">
      <c r="B9" s="120" t="str">
        <f>"IBAN: "&amp;PersönlicheEingaben_Pauschalen!$C$20</f>
        <v>IBAN: 12345678912345678912</v>
      </c>
      <c r="C9" s="120"/>
      <c r="D9" s="608" t="str">
        <f>"BIC: "&amp;PersönlicheEingaben_Pauschalen!C22</f>
        <v>BIC: DE123456789123456798</v>
      </c>
      <c r="E9" s="608"/>
      <c r="F9" s="608"/>
      <c r="G9" s="608"/>
      <c r="H9" s="62"/>
      <c r="I9" s="62"/>
      <c r="J9" s="62"/>
    </row>
    <row r="10" spans="2:10" ht="7.5" customHeight="1">
      <c r="B10" s="72"/>
      <c r="C10" s="72"/>
      <c r="D10" s="72"/>
      <c r="E10" s="72"/>
      <c r="F10" s="72"/>
      <c r="G10" s="72"/>
      <c r="H10" s="62"/>
      <c r="I10" s="62"/>
      <c r="J10" s="62"/>
    </row>
    <row r="11" spans="2:11" s="12" customFormat="1" ht="39.75" customHeight="1">
      <c r="B11" s="479" t="s">
        <v>50</v>
      </c>
      <c r="C11" s="131"/>
      <c r="D11" s="606" t="str">
        <f>Reisedaten!B42&amp;"; "&amp;Reisedaten!C8&amp;"; "&amp;Reisedaten!C10</f>
        <v>Deutschland; Freiburg; Dienstbesprechung</v>
      </c>
      <c r="E11" s="606"/>
      <c r="F11" s="606"/>
      <c r="G11" s="606"/>
      <c r="H11" s="133"/>
      <c r="I11" s="133"/>
      <c r="J11" s="73"/>
      <c r="K11" s="17"/>
    </row>
    <row r="12" spans="2:10" ht="24" customHeight="1">
      <c r="B12" s="72" t="s">
        <v>28</v>
      </c>
      <c r="C12" s="72"/>
      <c r="D12" s="609" t="str">
        <f>Reisedaten!C12</f>
        <v>Hamburg - Freiburg - Hamburg</v>
      </c>
      <c r="E12" s="609"/>
      <c r="F12" s="609"/>
      <c r="G12" s="609"/>
      <c r="H12" s="134"/>
      <c r="I12" s="84"/>
      <c r="J12" s="62"/>
    </row>
    <row r="13" spans="2:10" ht="24" customHeight="1">
      <c r="B13" s="72"/>
      <c r="C13" s="72"/>
      <c r="D13" s="609">
        <f>Reisedaten!C14</f>
        <v>0</v>
      </c>
      <c r="E13" s="609"/>
      <c r="F13" s="609"/>
      <c r="G13" s="609"/>
      <c r="H13" s="62"/>
      <c r="I13" s="62"/>
      <c r="J13" s="62"/>
    </row>
    <row r="14" spans="2:10" ht="24" customHeight="1">
      <c r="B14" s="72"/>
      <c r="C14" s="72"/>
      <c r="D14" s="609">
        <f>Reisedaten!C16</f>
        <v>0</v>
      </c>
      <c r="E14" s="609"/>
      <c r="F14" s="609"/>
      <c r="G14" s="609"/>
      <c r="H14" s="62"/>
      <c r="I14" s="62"/>
      <c r="J14" s="62"/>
    </row>
    <row r="15" spans="2:10" ht="24" customHeight="1">
      <c r="B15" s="72"/>
      <c r="C15" s="72"/>
      <c r="D15" s="609">
        <f>Reisedaten!C18</f>
        <v>0</v>
      </c>
      <c r="E15" s="609"/>
      <c r="F15" s="609"/>
      <c r="G15" s="609"/>
      <c r="H15" s="62"/>
      <c r="I15" s="62"/>
      <c r="J15" s="62"/>
    </row>
    <row r="16" spans="2:10" ht="12" customHeight="1" hidden="1">
      <c r="B16" s="72"/>
      <c r="C16" s="72"/>
      <c r="D16" s="76">
        <f>Reisedaten!C20</f>
        <v>0</v>
      </c>
      <c r="E16" s="76"/>
      <c r="F16" s="76"/>
      <c r="G16" s="76"/>
      <c r="H16" s="62"/>
      <c r="I16" s="62"/>
      <c r="J16" s="62"/>
    </row>
    <row r="17" spans="2:10" ht="12" customHeight="1">
      <c r="B17" s="72"/>
      <c r="C17" s="72"/>
      <c r="D17" s="75"/>
      <c r="E17" s="75"/>
      <c r="F17" s="75"/>
      <c r="G17" s="75"/>
      <c r="H17" s="62"/>
      <c r="I17" s="62"/>
      <c r="J17" s="62"/>
    </row>
    <row r="18" spans="2:10" ht="22.5" customHeight="1">
      <c r="B18" s="123"/>
      <c r="C18" s="123"/>
      <c r="D18" s="293" t="s">
        <v>64</v>
      </c>
      <c r="E18" s="293" t="s">
        <v>65</v>
      </c>
      <c r="F18" s="124"/>
      <c r="G18" s="124"/>
      <c r="H18" s="125"/>
      <c r="I18" s="125"/>
      <c r="J18" s="62"/>
    </row>
    <row r="19" spans="2:10" ht="19.5" customHeight="1">
      <c r="B19" s="72" t="s">
        <v>51</v>
      </c>
      <c r="C19" s="72"/>
      <c r="D19" s="473">
        <f>Reisedaten!C24</f>
        <v>43162</v>
      </c>
      <c r="E19" s="78">
        <f>Reisedaten!C26</f>
        <v>0.3333333333333333</v>
      </c>
      <c r="F19" s="76"/>
      <c r="G19" s="76"/>
      <c r="H19" s="84"/>
      <c r="I19" s="84"/>
      <c r="J19" s="62"/>
    </row>
    <row r="20" spans="2:10" ht="19.5" customHeight="1">
      <c r="B20" s="72" t="s">
        <v>52</v>
      </c>
      <c r="C20" s="72"/>
      <c r="D20" s="77">
        <f>Reisedaten!C28</f>
        <v>43163</v>
      </c>
      <c r="E20" s="78">
        <f>Reisedaten!C30</f>
        <v>0.6770833333333334</v>
      </c>
      <c r="F20" s="76"/>
      <c r="G20" s="76"/>
      <c r="H20" s="62"/>
      <c r="I20" s="62"/>
      <c r="J20" s="62"/>
    </row>
    <row r="21" spans="2:10" ht="4.5" customHeight="1">
      <c r="B21" s="72"/>
      <c r="C21" s="72"/>
      <c r="D21" s="77"/>
      <c r="E21" s="78"/>
      <c r="F21" s="76"/>
      <c r="G21" s="76"/>
      <c r="H21" s="62"/>
      <c r="I21" s="62"/>
      <c r="J21" s="62"/>
    </row>
    <row r="22" spans="2:10" ht="21.75" customHeight="1">
      <c r="B22" s="131" t="str">
        <f>IF(Reisedaten!O6=1,"Reisedauer eintägige Reise","Reisedauer mehrtägige Reise")</f>
        <v>Reisedauer mehrtägige Reise</v>
      </c>
      <c r="C22" s="131"/>
      <c r="D22" s="132" t="str">
        <f>IF(Reisedaten!$O$6=1,"",Reisedaten!$O$6&amp;" Tage")</f>
        <v>2 Tage</v>
      </c>
      <c r="E22" s="132">
        <f>Reisedaten!O10</f>
        <v>0</v>
      </c>
      <c r="F22" s="121"/>
      <c r="G22" s="121"/>
      <c r="H22" s="122"/>
      <c r="I22" s="122"/>
      <c r="J22" s="62"/>
    </row>
    <row r="23" spans="2:10" ht="7.5" customHeight="1">
      <c r="B23" s="126"/>
      <c r="C23" s="126"/>
      <c r="D23" s="127"/>
      <c r="E23" s="128"/>
      <c r="F23" s="129"/>
      <c r="G23" s="129"/>
      <c r="H23" s="130"/>
      <c r="I23" s="130"/>
      <c r="J23" s="62"/>
    </row>
    <row r="24" spans="2:10" ht="7.5" customHeight="1">
      <c r="B24" s="72"/>
      <c r="C24" s="72"/>
      <c r="D24" s="77"/>
      <c r="E24" s="78"/>
      <c r="F24" s="526"/>
      <c r="G24" s="526"/>
      <c r="H24" s="84"/>
      <c r="I24" s="84"/>
      <c r="J24" s="62"/>
    </row>
    <row r="25" spans="2:10" ht="19.5" customHeight="1">
      <c r="B25" s="79" t="s">
        <v>374</v>
      </c>
      <c r="C25" s="79"/>
      <c r="D25" s="525"/>
      <c r="E25" s="100"/>
      <c r="F25" s="100"/>
      <c r="G25" s="101"/>
      <c r="H25" s="101"/>
      <c r="I25" s="107">
        <f>I56</f>
        <v>24</v>
      </c>
      <c r="J25" s="62"/>
    </row>
    <row r="26" spans="2:10" ht="7.5" customHeight="1">
      <c r="B26" s="126"/>
      <c r="C26" s="126"/>
      <c r="D26" s="127"/>
      <c r="E26" s="128"/>
      <c r="F26" s="129"/>
      <c r="G26" s="129"/>
      <c r="H26" s="130"/>
      <c r="I26" s="130"/>
      <c r="J26" s="62"/>
    </row>
    <row r="27" spans="2:10" ht="7.5" customHeight="1" hidden="1">
      <c r="B27" s="72"/>
      <c r="C27" s="72"/>
      <c r="D27" s="77"/>
      <c r="E27" s="78"/>
      <c r="F27" s="526"/>
      <c r="G27" s="526"/>
      <c r="H27" s="84"/>
      <c r="I27" s="84"/>
      <c r="J27" s="62"/>
    </row>
    <row r="28" spans="2:10" ht="9" customHeight="1">
      <c r="B28" s="62"/>
      <c r="C28" s="62"/>
      <c r="D28" s="62"/>
      <c r="E28" s="62"/>
      <c r="F28" s="63"/>
      <c r="G28" s="63"/>
      <c r="H28" s="62"/>
      <c r="I28" s="62"/>
      <c r="J28" s="62"/>
    </row>
    <row r="29" spans="2:10" ht="19.5" customHeight="1">
      <c r="B29" s="79" t="s">
        <v>36</v>
      </c>
      <c r="C29" s="79"/>
      <c r="D29" s="79"/>
      <c r="E29" s="80"/>
      <c r="F29" s="80"/>
      <c r="G29" s="81"/>
      <c r="H29" s="80"/>
      <c r="I29" s="285">
        <f>SUM(F30:F35)</f>
        <v>640</v>
      </c>
      <c r="J29" s="62"/>
    </row>
    <row r="30" spans="2:10" ht="18" customHeight="1">
      <c r="B30" s="82" t="s">
        <v>34</v>
      </c>
      <c r="C30" s="82"/>
      <c r="E30" s="83"/>
      <c r="F30" s="105">
        <f>Fahrtkosten!J27</f>
        <v>100</v>
      </c>
      <c r="G30" s="82"/>
      <c r="H30" s="82"/>
      <c r="I30" s="294"/>
      <c r="J30" s="62"/>
    </row>
    <row r="31" spans="2:10" ht="18" customHeight="1">
      <c r="B31" s="82" t="s">
        <v>18</v>
      </c>
      <c r="C31" s="82"/>
      <c r="E31" s="83"/>
      <c r="F31" s="105">
        <f>Fahrtkosten!L28</f>
        <v>10</v>
      </c>
      <c r="G31" s="82"/>
      <c r="H31" s="82"/>
      <c r="I31" s="294"/>
      <c r="J31" s="62"/>
    </row>
    <row r="32" spans="2:10" ht="18" customHeight="1">
      <c r="B32" s="82" t="s">
        <v>19</v>
      </c>
      <c r="C32" s="82"/>
      <c r="E32" s="83"/>
      <c r="F32" s="105">
        <f>Fahrtkosten!L29</f>
        <v>10</v>
      </c>
      <c r="G32" s="82"/>
      <c r="H32" s="82"/>
      <c r="I32" s="294"/>
      <c r="J32" s="62"/>
    </row>
    <row r="33" spans="2:10" ht="18" customHeight="1">
      <c r="B33" s="82" t="s">
        <v>56</v>
      </c>
      <c r="C33" s="82"/>
      <c r="E33" s="83"/>
      <c r="F33" s="105">
        <f>Fahrtkosten!L30</f>
        <v>500</v>
      </c>
      <c r="G33" s="82"/>
      <c r="H33" s="82"/>
      <c r="I33" s="294"/>
      <c r="J33" s="62"/>
    </row>
    <row r="34" spans="2:10" ht="18" customHeight="1">
      <c r="B34" s="82" t="s">
        <v>71</v>
      </c>
      <c r="C34" s="82"/>
      <c r="E34" s="83"/>
      <c r="F34" s="105">
        <f>Fahrtkosten!L31</f>
        <v>10</v>
      </c>
      <c r="G34" s="82"/>
      <c r="H34" s="82"/>
      <c r="I34" s="294"/>
      <c r="J34" s="62"/>
    </row>
    <row r="35" spans="2:11" ht="18" customHeight="1">
      <c r="B35" s="82" t="s">
        <v>35</v>
      </c>
      <c r="C35" s="82"/>
      <c r="E35" s="83"/>
      <c r="F35" s="105">
        <f>Fahrtkosten!L32</f>
        <v>10</v>
      </c>
      <c r="G35" s="82"/>
      <c r="H35" s="82"/>
      <c r="I35" s="294"/>
      <c r="J35" s="62"/>
      <c r="K35" s="29"/>
    </row>
    <row r="36" spans="2:10" ht="7.5" customHeight="1">
      <c r="B36" s="136"/>
      <c r="C36" s="136"/>
      <c r="D36" s="136"/>
      <c r="E36" s="138"/>
      <c r="F36" s="122"/>
      <c r="G36" s="136"/>
      <c r="H36" s="136"/>
      <c r="I36" s="139"/>
      <c r="J36" s="62"/>
    </row>
    <row r="37" spans="2:10" ht="19.5" customHeight="1">
      <c r="B37" s="79" t="s">
        <v>68</v>
      </c>
      <c r="C37" s="79"/>
      <c r="D37" s="80"/>
      <c r="E37" s="80"/>
      <c r="F37" s="80"/>
      <c r="G37" s="80"/>
      <c r="H37" s="85"/>
      <c r="I37" s="285">
        <f>SUM(F40:F45)</f>
        <v>3</v>
      </c>
      <c r="J37" s="62"/>
    </row>
    <row r="38" spans="2:10" ht="3" customHeight="1">
      <c r="B38" s="86"/>
      <c r="C38" s="86"/>
      <c r="D38" s="82"/>
      <c r="E38" s="82"/>
      <c r="F38" s="82"/>
      <c r="G38" s="82"/>
      <c r="H38" s="87"/>
      <c r="I38" s="295"/>
      <c r="J38" s="62"/>
    </row>
    <row r="39" spans="2:10" ht="19.5" customHeight="1">
      <c r="B39" s="86" t="str">
        <f>IF($I$37=0,"","Strecke/Route")</f>
        <v>Strecke/Route</v>
      </c>
      <c r="E39" s="288" t="str">
        <f>IF($I$37=0,"","km ")</f>
        <v>km </v>
      </c>
      <c r="F39" s="86" t="str">
        <f>IF($I$37=0,"","     Betrag")</f>
        <v>     Betrag</v>
      </c>
      <c r="G39" s="63"/>
      <c r="I39" s="295"/>
      <c r="J39" s="62"/>
    </row>
    <row r="40" spans="2:10" ht="18" customHeight="1">
      <c r="B40" s="90" t="str">
        <f>Reisedaten!C12</f>
        <v>Hamburg - Freiburg - Hamburg</v>
      </c>
      <c r="E40" s="92">
        <f>Fahrtkosten!H38</f>
        <v>10</v>
      </c>
      <c r="F40" s="105">
        <f>Fahrtkosten!$J$38</f>
        <v>3</v>
      </c>
      <c r="G40" s="63"/>
      <c r="I40" s="294"/>
      <c r="J40" s="62"/>
    </row>
    <row r="41" spans="2:10" ht="18" customHeight="1">
      <c r="B41" s="90">
        <f>Reisedaten!C14</f>
        <v>0</v>
      </c>
      <c r="E41" s="92">
        <f>Fahrtkosten!H39</f>
        <v>0</v>
      </c>
      <c r="F41" s="105">
        <f>Fahrtkosten!$J$39</f>
        <v>0</v>
      </c>
      <c r="G41" s="63"/>
      <c r="I41" s="294"/>
      <c r="J41" s="62"/>
    </row>
    <row r="42" spans="2:10" ht="18" customHeight="1">
      <c r="B42" s="90">
        <f>Reisedaten!C16</f>
        <v>0</v>
      </c>
      <c r="E42" s="92">
        <f>Fahrtkosten!H40</f>
        <v>0</v>
      </c>
      <c r="F42" s="105">
        <f>Fahrtkosten!J40</f>
        <v>0</v>
      </c>
      <c r="G42" s="63"/>
      <c r="I42" s="294"/>
      <c r="J42" s="62"/>
    </row>
    <row r="43" spans="2:10" s="14" customFormat="1" ht="18" customHeight="1">
      <c r="B43" s="90">
        <f>Reisedaten!C18</f>
        <v>0</v>
      </c>
      <c r="E43" s="92">
        <f>Fahrtkosten!H41</f>
        <v>0</v>
      </c>
      <c r="F43" s="105">
        <f>Fahrtkosten!J41</f>
        <v>0</v>
      </c>
      <c r="G43" s="63"/>
      <c r="I43" s="296"/>
      <c r="J43" s="63"/>
    </row>
    <row r="44" spans="2:10" s="14" customFormat="1" ht="18" customHeight="1">
      <c r="B44" s="90">
        <f>Fahrtkosten!B42</f>
        <v>0</v>
      </c>
      <c r="E44" s="92">
        <f>Fahrtkosten!H42</f>
        <v>0</v>
      </c>
      <c r="F44" s="105">
        <f>Fahrtkosten!J42</f>
        <v>0</v>
      </c>
      <c r="G44" s="63"/>
      <c r="I44" s="296"/>
      <c r="J44" s="63"/>
    </row>
    <row r="45" spans="2:11" s="14" customFormat="1" ht="18" customHeight="1">
      <c r="B45" s="82" t="str">
        <f>Fahrtkosten!D44&amp;" Mitfahrer"</f>
        <v> Mitfahrer</v>
      </c>
      <c r="E45" s="92">
        <f>Fahrtkosten!H44</f>
        <v>0</v>
      </c>
      <c r="F45" s="105">
        <f>Fahrtkosten!J44</f>
        <v>0</v>
      </c>
      <c r="G45" s="63"/>
      <c r="I45" s="295"/>
      <c r="J45" s="63"/>
      <c r="K45" s="31"/>
    </row>
    <row r="46" spans="2:10" s="14" customFormat="1" ht="6.75" customHeight="1">
      <c r="B46" s="131"/>
      <c r="C46" s="131"/>
      <c r="D46" s="289"/>
      <c r="E46" s="290"/>
      <c r="F46" s="290"/>
      <c r="G46" s="290"/>
      <c r="H46" s="291"/>
      <c r="I46" s="297"/>
      <c r="J46" s="63"/>
    </row>
    <row r="47" spans="2:10" s="14" customFormat="1" ht="19.5" customHeight="1">
      <c r="B47" s="69" t="s">
        <v>17</v>
      </c>
      <c r="C47" s="69"/>
      <c r="D47" s="69"/>
      <c r="E47" s="69"/>
      <c r="F47" s="69"/>
      <c r="G47" s="69"/>
      <c r="H47" s="69"/>
      <c r="I47" s="298">
        <f>SUM(H49:H54)</f>
        <v>0</v>
      </c>
      <c r="J47" s="63"/>
    </row>
    <row r="48" spans="2:11" s="14" customFormat="1" ht="19.5" customHeight="1">
      <c r="B48" s="86">
        <f>IF(I47=0,"","Übernachtungskosten gem. Nachweis")</f>
      </c>
      <c r="C48" s="86"/>
      <c r="D48" s="610">
        <f>IF(I47=0,"","Anzahl der Übernachtungen")</f>
      </c>
      <c r="E48" s="610"/>
      <c r="F48" s="135">
        <f>IF($I$47=0,"","Einzelbetrag")</f>
      </c>
      <c r="G48" s="292">
        <f>IF(J47=0,"","Einzelbetrag")</f>
      </c>
      <c r="H48" s="292">
        <f>IF($I$47=0,"","Gesamtbetrag")</f>
      </c>
      <c r="I48" s="295"/>
      <c r="J48" s="63"/>
      <c r="K48" s="10"/>
    </row>
    <row r="49" spans="2:11" s="14" customFormat="1" ht="18" customHeight="1">
      <c r="B49" s="90">
        <f>Übernachtung!B8</f>
        <v>0</v>
      </c>
      <c r="C49" s="90"/>
      <c r="D49" s="82">
        <f>Übernachtung!D8</f>
        <v>0</v>
      </c>
      <c r="E49" s="82"/>
      <c r="F49" s="274">
        <f>Übernachtung!H8</f>
        <v>0</v>
      </c>
      <c r="G49" s="276"/>
      <c r="H49" s="278">
        <f>Übernachtung!J8</f>
        <v>0</v>
      </c>
      <c r="I49" s="295"/>
      <c r="J49" s="63"/>
      <c r="K49" s="31"/>
    </row>
    <row r="50" spans="2:10" s="14" customFormat="1" ht="18" customHeight="1">
      <c r="B50" s="90">
        <f>Übernachtung!B9</f>
        <v>0</v>
      </c>
      <c r="C50" s="90"/>
      <c r="D50" s="82">
        <f>Übernachtung!D9</f>
        <v>0</v>
      </c>
      <c r="E50" s="82"/>
      <c r="F50" s="274">
        <f>Übernachtung!H9</f>
        <v>0</v>
      </c>
      <c r="G50" s="274"/>
      <c r="H50" s="278">
        <f>Übernachtung!J9</f>
        <v>0</v>
      </c>
      <c r="I50" s="295"/>
      <c r="J50" s="63"/>
    </row>
    <row r="51" spans="2:10" s="14" customFormat="1" ht="18" customHeight="1">
      <c r="B51" s="90">
        <f>Übernachtung!B10</f>
        <v>0</v>
      </c>
      <c r="C51" s="90"/>
      <c r="D51" s="82">
        <f>Übernachtung!D10</f>
        <v>0</v>
      </c>
      <c r="E51" s="82"/>
      <c r="F51" s="274">
        <f>Übernachtung!H10</f>
        <v>0</v>
      </c>
      <c r="G51" s="274"/>
      <c r="H51" s="278">
        <f>Übernachtung!J10</f>
        <v>0</v>
      </c>
      <c r="I51" s="295"/>
      <c r="J51" s="63"/>
    </row>
    <row r="52" spans="2:10" s="14" customFormat="1" ht="18" customHeight="1">
      <c r="B52" s="90">
        <f>Übernachtung!B11</f>
        <v>0</v>
      </c>
      <c r="C52" s="90"/>
      <c r="D52" s="82">
        <f>Übernachtung!D11</f>
        <v>0</v>
      </c>
      <c r="E52" s="275"/>
      <c r="F52" s="274">
        <f>Übernachtung!H11</f>
        <v>0</v>
      </c>
      <c r="G52" s="63"/>
      <c r="H52" s="278">
        <f>Übernachtung!J11</f>
        <v>0</v>
      </c>
      <c r="I52" s="295"/>
      <c r="J52" s="63"/>
    </row>
    <row r="53" spans="2:10" s="14" customFormat="1" ht="18" customHeight="1">
      <c r="B53" s="90">
        <f>Übernachtung!B12</f>
        <v>0</v>
      </c>
      <c r="C53" s="90"/>
      <c r="D53" s="82">
        <f>Übernachtung!D12</f>
        <v>0</v>
      </c>
      <c r="E53" s="95"/>
      <c r="F53" s="304">
        <f>Übernachtung!H12</f>
        <v>0</v>
      </c>
      <c r="G53" s="82"/>
      <c r="H53" s="304">
        <f>Übernachtung!J12</f>
        <v>0</v>
      </c>
      <c r="I53" s="295"/>
      <c r="J53" s="63"/>
    </row>
    <row r="54" spans="2:10" s="14" customFormat="1" ht="18" customHeight="1">
      <c r="B54" s="305" t="s">
        <v>302</v>
      </c>
      <c r="C54" s="305"/>
      <c r="D54" s="306"/>
      <c r="E54" s="307"/>
      <c r="F54" s="308">
        <f>Übernachtung!J18</f>
        <v>0</v>
      </c>
      <c r="G54" s="309"/>
      <c r="H54" s="310">
        <f>Übernachtung!J26</f>
        <v>0</v>
      </c>
      <c r="I54" s="311"/>
      <c r="J54" s="63"/>
    </row>
    <row r="55" spans="2:10" s="14" customFormat="1" ht="6.75" customHeight="1" hidden="1">
      <c r="B55" s="82"/>
      <c r="C55" s="82"/>
      <c r="D55" s="96"/>
      <c r="E55" s="94"/>
      <c r="F55" s="94"/>
      <c r="G55" s="97"/>
      <c r="H55" s="97"/>
      <c r="I55" s="98"/>
      <c r="J55" s="63"/>
    </row>
    <row r="56" spans="2:10" s="14" customFormat="1" ht="19.5" customHeight="1" hidden="1">
      <c r="B56" s="79" t="s">
        <v>374</v>
      </c>
      <c r="C56" s="79"/>
      <c r="D56" s="99"/>
      <c r="E56" s="100"/>
      <c r="F56" s="100"/>
      <c r="G56" s="101"/>
      <c r="H56" s="101"/>
      <c r="I56" s="107">
        <f>IF(Reisedaten!N23=TRUE,Verpflegung_Wechsel!M53,Verpflegung!J31)</f>
        <v>24</v>
      </c>
      <c r="J56" s="63"/>
    </row>
    <row r="57" spans="2:10" s="14" customFormat="1" ht="19.5" customHeight="1" hidden="1">
      <c r="B57" s="82" t="s">
        <v>57</v>
      </c>
      <c r="C57" s="82"/>
      <c r="D57" s="102" t="e">
        <f>Übernachtung!#REF!</f>
        <v>#REF!</v>
      </c>
      <c r="F57" s="282" t="e">
        <f>Übernachtung!#REF!</f>
        <v>#REF!</v>
      </c>
      <c r="G57" s="94"/>
      <c r="H57" s="72"/>
      <c r="I57" s="296"/>
      <c r="J57" s="72"/>
    </row>
    <row r="58" spans="2:10" s="14" customFormat="1" ht="19.5" customHeight="1" hidden="1">
      <c r="B58" s="82" t="s">
        <v>76</v>
      </c>
      <c r="C58" s="82"/>
      <c r="D58" s="303" t="e">
        <f>Übernachtung!#REF!</f>
        <v>#REF!</v>
      </c>
      <c r="F58" s="282" t="e">
        <f>Übernachtung!#REF!</f>
        <v>#REF!</v>
      </c>
      <c r="G58" s="103"/>
      <c r="H58" s="104"/>
      <c r="I58" s="296"/>
      <c r="J58" s="83"/>
    </row>
    <row r="59" spans="2:10" s="14" customFormat="1" ht="19.5" customHeight="1" hidden="1">
      <c r="B59" s="284" t="s">
        <v>72</v>
      </c>
      <c r="C59" s="284"/>
      <c r="D59" s="90"/>
      <c r="F59" s="282" t="e">
        <f>Übernachtung!#REF!</f>
        <v>#REF!</v>
      </c>
      <c r="G59" s="283"/>
      <c r="H59" s="90"/>
      <c r="I59" s="296"/>
      <c r="J59" s="63"/>
    </row>
    <row r="60" spans="1:10" ht="7.5" customHeight="1">
      <c r="A60" s="14"/>
      <c r="B60" s="84"/>
      <c r="C60" s="84"/>
      <c r="D60" s="84"/>
      <c r="E60" s="84"/>
      <c r="F60" s="82"/>
      <c r="G60" s="82"/>
      <c r="H60" s="84"/>
      <c r="I60" s="299"/>
      <c r="J60" s="62"/>
    </row>
    <row r="61" spans="1:10" ht="19.5" customHeight="1">
      <c r="A61" s="14"/>
      <c r="B61" s="79" t="s">
        <v>55</v>
      </c>
      <c r="C61" s="79"/>
      <c r="D61" s="286"/>
      <c r="E61" s="286"/>
      <c r="F61" s="80"/>
      <c r="G61" s="80"/>
      <c r="H61" s="286"/>
      <c r="I61" s="107">
        <f>Reisenebenkosten!E31</f>
        <v>0</v>
      </c>
      <c r="J61" s="20"/>
    </row>
    <row r="62" spans="1:10" ht="9" customHeight="1">
      <c r="A62" s="14"/>
      <c r="B62" s="82"/>
      <c r="C62" s="82"/>
      <c r="D62" s="84"/>
      <c r="E62" s="84"/>
      <c r="F62" s="82"/>
      <c r="G62" s="82"/>
      <c r="H62" s="84"/>
      <c r="I62" s="300"/>
      <c r="J62" s="62"/>
    </row>
    <row r="63" spans="1:10" ht="19.5" customHeight="1">
      <c r="A63" s="14"/>
      <c r="B63" s="136" t="s">
        <v>392</v>
      </c>
      <c r="C63" s="136"/>
      <c r="D63" s="122"/>
      <c r="E63" s="122"/>
      <c r="F63" s="136"/>
      <c r="G63" s="136"/>
      <c r="H63" s="122"/>
      <c r="I63" s="301">
        <f>SUM(I29:I62)</f>
        <v>667</v>
      </c>
      <c r="J63" s="62"/>
    </row>
    <row r="64" spans="1:10" ht="7.5" customHeight="1">
      <c r="A64" s="14"/>
      <c r="B64" s="82"/>
      <c r="C64" s="82"/>
      <c r="D64" s="84"/>
      <c r="E64" s="84"/>
      <c r="F64" s="82"/>
      <c r="G64" s="82"/>
      <c r="H64" s="84"/>
      <c r="I64" s="300"/>
      <c r="J64" s="62"/>
    </row>
    <row r="65" spans="1:10" ht="19.5" customHeight="1">
      <c r="A65" s="14"/>
      <c r="B65" s="136" t="s">
        <v>391</v>
      </c>
      <c r="C65" s="136"/>
      <c r="D65" s="122"/>
      <c r="E65" s="122"/>
      <c r="F65" s="136"/>
      <c r="G65" s="136"/>
      <c r="H65" s="122"/>
      <c r="I65" s="301">
        <f>+Reisedaten!C32*(-1)</f>
        <v>0</v>
      </c>
      <c r="J65" s="62"/>
    </row>
    <row r="66" spans="2:10" ht="10.5" customHeight="1">
      <c r="B66" s="84"/>
      <c r="C66" s="84"/>
      <c r="D66" s="84"/>
      <c r="E66" s="84"/>
      <c r="F66" s="82"/>
      <c r="G66" s="82"/>
      <c r="H66" s="84"/>
      <c r="I66" s="299"/>
      <c r="J66" s="62"/>
    </row>
    <row r="67" spans="2:10" ht="10.5" customHeight="1">
      <c r="B67" s="61"/>
      <c r="C67" s="61"/>
      <c r="D67" s="122"/>
      <c r="E67" s="122"/>
      <c r="F67" s="136"/>
      <c r="G67" s="136"/>
      <c r="H67" s="122"/>
      <c r="I67" s="302"/>
      <c r="J67" s="62"/>
    </row>
    <row r="68" spans="2:10" ht="19.5" customHeight="1">
      <c r="B68" s="79" t="s">
        <v>20</v>
      </c>
      <c r="C68" s="79"/>
      <c r="D68" s="106"/>
      <c r="E68" s="106"/>
      <c r="F68" s="79"/>
      <c r="G68" s="79"/>
      <c r="H68" s="106"/>
      <c r="I68" s="107">
        <f>+I63+I65</f>
        <v>667</v>
      </c>
      <c r="J68" s="108"/>
    </row>
    <row r="69" spans="2:10" ht="19.5" customHeight="1">
      <c r="B69" s="130"/>
      <c r="C69" s="130"/>
      <c r="D69" s="130"/>
      <c r="E69" s="130"/>
      <c r="F69" s="137"/>
      <c r="G69" s="137"/>
      <c r="H69" s="130"/>
      <c r="I69" s="130"/>
      <c r="J69" s="62"/>
    </row>
    <row r="70" spans="2:10" ht="19.5" customHeight="1">
      <c r="B70" s="62"/>
      <c r="C70" s="62"/>
      <c r="D70" s="62"/>
      <c r="E70" s="62"/>
      <c r="F70" s="63"/>
      <c r="G70" s="63"/>
      <c r="H70" s="62"/>
      <c r="I70" s="62"/>
      <c r="J70" s="62"/>
    </row>
    <row r="71" spans="2:10" ht="19.5" customHeight="1">
      <c r="B71" s="109" t="s">
        <v>393</v>
      </c>
      <c r="C71" s="109"/>
      <c r="D71" s="62"/>
      <c r="E71" s="110" t="s">
        <v>394</v>
      </c>
      <c r="F71" s="62"/>
      <c r="G71" s="62"/>
      <c r="H71" s="84"/>
      <c r="I71" s="62"/>
      <c r="J71" s="62"/>
    </row>
    <row r="72" spans="2:10" ht="50.25" customHeight="1">
      <c r="B72" s="111"/>
      <c r="C72" s="527"/>
      <c r="D72" s="112"/>
      <c r="E72" s="113"/>
      <c r="F72" s="113"/>
      <c r="G72" s="113"/>
      <c r="H72" s="113"/>
      <c r="I72" s="114"/>
      <c r="J72" s="62"/>
    </row>
    <row r="73" spans="2:10" ht="19.5" customHeight="1">
      <c r="B73" s="115" t="s">
        <v>395</v>
      </c>
      <c r="C73" s="287"/>
      <c r="D73" s="116"/>
      <c r="E73" s="115" t="s">
        <v>395</v>
      </c>
      <c r="F73" s="117"/>
      <c r="G73" s="114"/>
      <c r="H73" s="118"/>
      <c r="I73" s="114"/>
      <c r="J73" s="62"/>
    </row>
    <row r="74" spans="2:10" ht="19.5" customHeight="1">
      <c r="B74" s="91"/>
      <c r="C74" s="277"/>
      <c r="D74" s="90"/>
      <c r="E74" s="605"/>
      <c r="F74" s="605"/>
      <c r="G74" s="605"/>
      <c r="H74" s="605"/>
      <c r="I74" s="114"/>
      <c r="J74" s="62"/>
    </row>
    <row r="75" spans="2:10" ht="19.5" customHeight="1">
      <c r="B75" s="114"/>
      <c r="C75" s="114"/>
      <c r="D75" s="114"/>
      <c r="E75" s="114"/>
      <c r="F75" s="112"/>
      <c r="G75" s="112"/>
      <c r="H75" s="114"/>
      <c r="I75" s="114"/>
      <c r="J75" s="62"/>
    </row>
    <row r="76" spans="2:10" ht="19.5" customHeight="1">
      <c r="B76" s="114"/>
      <c r="C76" s="114"/>
      <c r="D76" s="114"/>
      <c r="E76" s="114"/>
      <c r="F76" s="112"/>
      <c r="G76" s="112"/>
      <c r="H76" s="114"/>
      <c r="I76" s="114"/>
      <c r="J76" s="62"/>
    </row>
  </sheetData>
  <sheetProtection password="C811" sheet="1" selectLockedCells="1"/>
  <mergeCells count="10">
    <mergeCell ref="E74:H74"/>
    <mergeCell ref="D11:G11"/>
    <mergeCell ref="F6:H6"/>
    <mergeCell ref="D9:G9"/>
    <mergeCell ref="D15:G15"/>
    <mergeCell ref="D12:G12"/>
    <mergeCell ref="D13:G13"/>
    <mergeCell ref="D14:G14"/>
    <mergeCell ref="D48:E48"/>
    <mergeCell ref="D6:E6"/>
  </mergeCells>
  <printOptions horizontalCentered="1"/>
  <pageMargins left="0.6299212598425197" right="0.2755905511811024" top="0.5118110236220472" bottom="0.2755905511811024" header="0.5118110236220472" footer="0.3937007874015748"/>
  <pageSetup cellComments="asDisplayed" fitToWidth="0" fitToHeight="1" horizontalDpi="300" verticalDpi="300" orientation="portrait" paperSize="9" scale="71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/>
  <dimension ref="B1:IV36"/>
  <sheetViews>
    <sheetView showGridLines="0" showRowColHeaders="0" zoomScalePageLayoutView="0" workbookViewId="0" topLeftCell="A1">
      <selection activeCell="B4" sqref="B4"/>
    </sheetView>
  </sheetViews>
  <sheetFormatPr defaultColWidth="11.421875" defaultRowHeight="12.75"/>
  <cols>
    <col min="1" max="1" width="6.421875" style="0" customWidth="1"/>
    <col min="2" max="2" width="134.140625" style="0" customWidth="1"/>
  </cols>
  <sheetData>
    <row r="1" spans="35:122" ht="18.75"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70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269"/>
      <c r="DR1" s="269"/>
    </row>
    <row r="2" spans="2:256" ht="18.75">
      <c r="B2" s="268" t="s">
        <v>303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68" t="s">
        <v>300</v>
      </c>
      <c r="DT2" s="268" t="s">
        <v>300</v>
      </c>
      <c r="DU2" s="268" t="s">
        <v>300</v>
      </c>
      <c r="DV2" s="268" t="s">
        <v>300</v>
      </c>
      <c r="DW2" s="268" t="s">
        <v>300</v>
      </c>
      <c r="DX2" s="268" t="s">
        <v>300</v>
      </c>
      <c r="DY2" s="268" t="s">
        <v>300</v>
      </c>
      <c r="DZ2" s="268" t="s">
        <v>300</v>
      </c>
      <c r="EA2" s="268" t="s">
        <v>300</v>
      </c>
      <c r="EB2" s="268" t="s">
        <v>300</v>
      </c>
      <c r="EC2" s="268" t="s">
        <v>300</v>
      </c>
      <c r="ED2" s="268" t="s">
        <v>300</v>
      </c>
      <c r="EE2" s="268" t="s">
        <v>300</v>
      </c>
      <c r="EF2" s="268" t="s">
        <v>300</v>
      </c>
      <c r="EG2" s="268" t="s">
        <v>300</v>
      </c>
      <c r="EH2" s="268" t="s">
        <v>300</v>
      </c>
      <c r="EI2" s="268" t="s">
        <v>300</v>
      </c>
      <c r="EJ2" s="268" t="s">
        <v>300</v>
      </c>
      <c r="EK2" s="268" t="s">
        <v>300</v>
      </c>
      <c r="EL2" s="268" t="s">
        <v>300</v>
      </c>
      <c r="EM2" s="268" t="s">
        <v>300</v>
      </c>
      <c r="EN2" s="268" t="s">
        <v>300</v>
      </c>
      <c r="EO2" s="268" t="s">
        <v>300</v>
      </c>
      <c r="EP2" s="268" t="s">
        <v>300</v>
      </c>
      <c r="EQ2" s="268" t="s">
        <v>300</v>
      </c>
      <c r="ER2" s="268" t="s">
        <v>300</v>
      </c>
      <c r="ES2" s="268" t="s">
        <v>300</v>
      </c>
      <c r="ET2" s="268" t="s">
        <v>300</v>
      </c>
      <c r="EU2" s="268" t="s">
        <v>300</v>
      </c>
      <c r="EV2" s="268" t="s">
        <v>300</v>
      </c>
      <c r="EW2" s="268" t="s">
        <v>300</v>
      </c>
      <c r="EX2" s="268" t="s">
        <v>300</v>
      </c>
      <c r="EY2" s="268" t="s">
        <v>300</v>
      </c>
      <c r="EZ2" s="268" t="s">
        <v>300</v>
      </c>
      <c r="FA2" s="268" t="s">
        <v>300</v>
      </c>
      <c r="FB2" s="268" t="s">
        <v>300</v>
      </c>
      <c r="FC2" s="268" t="s">
        <v>300</v>
      </c>
      <c r="FD2" s="268" t="s">
        <v>300</v>
      </c>
      <c r="FE2" s="268" t="s">
        <v>300</v>
      </c>
      <c r="FF2" s="268" t="s">
        <v>300</v>
      </c>
      <c r="FG2" s="268" t="s">
        <v>300</v>
      </c>
      <c r="FH2" s="268" t="s">
        <v>300</v>
      </c>
      <c r="FI2" s="268" t="s">
        <v>300</v>
      </c>
      <c r="FJ2" s="268" t="s">
        <v>300</v>
      </c>
      <c r="FK2" s="268" t="s">
        <v>300</v>
      </c>
      <c r="FL2" s="268" t="s">
        <v>300</v>
      </c>
      <c r="FM2" s="268" t="s">
        <v>300</v>
      </c>
      <c r="FN2" s="268" t="s">
        <v>300</v>
      </c>
      <c r="FO2" s="268" t="s">
        <v>300</v>
      </c>
      <c r="FP2" s="268" t="s">
        <v>300</v>
      </c>
      <c r="FQ2" s="268" t="s">
        <v>300</v>
      </c>
      <c r="FR2" s="268" t="s">
        <v>300</v>
      </c>
      <c r="FS2" s="268" t="s">
        <v>300</v>
      </c>
      <c r="FT2" s="268" t="s">
        <v>300</v>
      </c>
      <c r="FU2" s="268" t="s">
        <v>300</v>
      </c>
      <c r="FV2" s="268" t="s">
        <v>300</v>
      </c>
      <c r="FW2" s="268" t="s">
        <v>300</v>
      </c>
      <c r="FX2" s="268" t="s">
        <v>300</v>
      </c>
      <c r="FY2" s="268" t="s">
        <v>300</v>
      </c>
      <c r="FZ2" s="268" t="s">
        <v>300</v>
      </c>
      <c r="GA2" s="268" t="s">
        <v>300</v>
      </c>
      <c r="GB2" s="268" t="s">
        <v>300</v>
      </c>
      <c r="GC2" s="268" t="s">
        <v>300</v>
      </c>
      <c r="GD2" s="268" t="s">
        <v>300</v>
      </c>
      <c r="GE2" s="268" t="s">
        <v>300</v>
      </c>
      <c r="GF2" s="268" t="s">
        <v>300</v>
      </c>
      <c r="GG2" s="268" t="s">
        <v>300</v>
      </c>
      <c r="GH2" s="268" t="s">
        <v>300</v>
      </c>
      <c r="GI2" s="268" t="s">
        <v>300</v>
      </c>
      <c r="GJ2" s="268" t="s">
        <v>300</v>
      </c>
      <c r="GK2" s="268" t="s">
        <v>300</v>
      </c>
      <c r="GL2" s="268" t="s">
        <v>300</v>
      </c>
      <c r="GM2" s="268" t="s">
        <v>300</v>
      </c>
      <c r="GN2" s="268" t="s">
        <v>300</v>
      </c>
      <c r="GO2" s="268" t="s">
        <v>300</v>
      </c>
      <c r="GP2" s="268" t="s">
        <v>300</v>
      </c>
      <c r="GQ2" s="268" t="s">
        <v>300</v>
      </c>
      <c r="GR2" s="268" t="s">
        <v>300</v>
      </c>
      <c r="GS2" s="268" t="s">
        <v>300</v>
      </c>
      <c r="GT2" s="268" t="s">
        <v>300</v>
      </c>
      <c r="GU2" s="268" t="s">
        <v>300</v>
      </c>
      <c r="GV2" s="268" t="s">
        <v>300</v>
      </c>
      <c r="GW2" s="268" t="s">
        <v>300</v>
      </c>
      <c r="GX2" s="268" t="s">
        <v>300</v>
      </c>
      <c r="GY2" s="268" t="s">
        <v>300</v>
      </c>
      <c r="GZ2" s="268" t="s">
        <v>300</v>
      </c>
      <c r="HA2" s="268" t="s">
        <v>300</v>
      </c>
      <c r="HB2" s="268" t="s">
        <v>300</v>
      </c>
      <c r="HC2" s="268" t="s">
        <v>300</v>
      </c>
      <c r="HD2" s="268" t="s">
        <v>300</v>
      </c>
      <c r="HE2" s="268" t="s">
        <v>300</v>
      </c>
      <c r="HF2" s="268" t="s">
        <v>300</v>
      </c>
      <c r="HG2" s="268" t="s">
        <v>300</v>
      </c>
      <c r="HH2" s="268" t="s">
        <v>300</v>
      </c>
      <c r="HI2" s="268" t="s">
        <v>300</v>
      </c>
      <c r="HJ2" s="268" t="s">
        <v>300</v>
      </c>
      <c r="HK2" s="268" t="s">
        <v>300</v>
      </c>
      <c r="HL2" s="268" t="s">
        <v>300</v>
      </c>
      <c r="HM2" s="268" t="s">
        <v>300</v>
      </c>
      <c r="HN2" s="268" t="s">
        <v>300</v>
      </c>
      <c r="HO2" s="268" t="s">
        <v>300</v>
      </c>
      <c r="HP2" s="268" t="s">
        <v>300</v>
      </c>
      <c r="HQ2" s="268" t="s">
        <v>300</v>
      </c>
      <c r="HR2" s="268" t="s">
        <v>300</v>
      </c>
      <c r="HS2" s="268" t="s">
        <v>300</v>
      </c>
      <c r="HT2" s="268" t="s">
        <v>300</v>
      </c>
      <c r="HU2" s="268" t="s">
        <v>300</v>
      </c>
      <c r="HV2" s="268" t="s">
        <v>300</v>
      </c>
      <c r="HW2" s="268" t="s">
        <v>300</v>
      </c>
      <c r="HX2" s="268" t="s">
        <v>300</v>
      </c>
      <c r="HY2" s="268" t="s">
        <v>300</v>
      </c>
      <c r="HZ2" s="268" t="s">
        <v>300</v>
      </c>
      <c r="IA2" s="268" t="s">
        <v>300</v>
      </c>
      <c r="IB2" s="268" t="s">
        <v>300</v>
      </c>
      <c r="IC2" s="268" t="s">
        <v>300</v>
      </c>
      <c r="ID2" s="268" t="s">
        <v>300</v>
      </c>
      <c r="IE2" s="268" t="s">
        <v>300</v>
      </c>
      <c r="IF2" s="268" t="s">
        <v>300</v>
      </c>
      <c r="IG2" s="268" t="s">
        <v>300</v>
      </c>
      <c r="IH2" s="268" t="s">
        <v>300</v>
      </c>
      <c r="II2" s="268" t="s">
        <v>300</v>
      </c>
      <c r="IJ2" s="268" t="s">
        <v>300</v>
      </c>
      <c r="IK2" s="268" t="s">
        <v>300</v>
      </c>
      <c r="IL2" s="268" t="s">
        <v>300</v>
      </c>
      <c r="IM2" s="268" t="s">
        <v>300</v>
      </c>
      <c r="IN2" s="268" t="s">
        <v>300</v>
      </c>
      <c r="IO2" s="268" t="s">
        <v>300</v>
      </c>
      <c r="IP2" s="268" t="s">
        <v>300</v>
      </c>
      <c r="IQ2" s="268" t="s">
        <v>300</v>
      </c>
      <c r="IR2" s="268" t="s">
        <v>300</v>
      </c>
      <c r="IS2" s="268" t="s">
        <v>300</v>
      </c>
      <c r="IT2" s="268" t="s">
        <v>300</v>
      </c>
      <c r="IU2" s="268" t="s">
        <v>300</v>
      </c>
      <c r="IV2" s="268" t="s">
        <v>300</v>
      </c>
    </row>
    <row r="4" ht="12.75">
      <c r="B4" s="354"/>
    </row>
    <row r="5" ht="12.75">
      <c r="B5" s="269"/>
    </row>
    <row r="6" ht="12" customHeight="1">
      <c r="B6" s="417" t="s">
        <v>349</v>
      </c>
    </row>
    <row r="7" ht="12" customHeight="1">
      <c r="B7" s="427" t="s">
        <v>350</v>
      </c>
    </row>
    <row r="8" ht="12.75">
      <c r="B8" s="269"/>
    </row>
    <row r="9" ht="15" customHeight="1">
      <c r="B9" s="355" t="s">
        <v>98</v>
      </c>
    </row>
    <row r="10" ht="15" customHeight="1">
      <c r="B10" s="356" t="s">
        <v>107</v>
      </c>
    </row>
    <row r="11" ht="15" customHeight="1">
      <c r="B11" s="356" t="s">
        <v>113</v>
      </c>
    </row>
    <row r="12" ht="15" customHeight="1">
      <c r="B12" s="356" t="s">
        <v>126</v>
      </c>
    </row>
    <row r="13" ht="15" customHeight="1">
      <c r="B13" s="356" t="s">
        <v>132</v>
      </c>
    </row>
    <row r="14" ht="15" customHeight="1">
      <c r="B14" s="356" t="s">
        <v>139</v>
      </c>
    </row>
    <row r="15" ht="15" customHeight="1">
      <c r="B15" s="356" t="s">
        <v>145</v>
      </c>
    </row>
    <row r="16" ht="15" customHeight="1">
      <c r="B16" s="356" t="s">
        <v>147</v>
      </c>
    </row>
    <row r="17" ht="15" customHeight="1">
      <c r="B17" s="356" t="s">
        <v>152</v>
      </c>
    </row>
    <row r="18" ht="15" customHeight="1">
      <c r="B18" s="356" t="s">
        <v>203</v>
      </c>
    </row>
    <row r="19" ht="15" customHeight="1">
      <c r="B19" s="356" t="s">
        <v>210</v>
      </c>
    </row>
    <row r="20" ht="15" customHeight="1">
      <c r="B20" s="356" t="s">
        <v>211</v>
      </c>
    </row>
    <row r="21" ht="15" customHeight="1">
      <c r="B21" s="356" t="s">
        <v>213</v>
      </c>
    </row>
    <row r="22" ht="15" customHeight="1">
      <c r="B22" s="356" t="s">
        <v>214</v>
      </c>
    </row>
    <row r="23" ht="15" customHeight="1">
      <c r="B23" s="356" t="s">
        <v>219</v>
      </c>
    </row>
    <row r="24" ht="15" customHeight="1">
      <c r="B24" s="356" t="s">
        <v>221</v>
      </c>
    </row>
    <row r="25" ht="15" customHeight="1">
      <c r="B25" s="356" t="s">
        <v>229</v>
      </c>
    </row>
    <row r="26" ht="15" customHeight="1">
      <c r="B26" s="356" t="s">
        <v>235</v>
      </c>
    </row>
    <row r="27" ht="15" customHeight="1">
      <c r="B27" s="356" t="s">
        <v>248</v>
      </c>
    </row>
    <row r="28" ht="15" customHeight="1">
      <c r="B28" s="356" t="s">
        <v>259</v>
      </c>
    </row>
    <row r="29" ht="15" customHeight="1">
      <c r="B29" s="356" t="s">
        <v>279</v>
      </c>
    </row>
    <row r="30" ht="15" customHeight="1">
      <c r="B30" s="356"/>
    </row>
    <row r="31" ht="12.75">
      <c r="B31" s="269"/>
    </row>
    <row r="32" ht="12.75">
      <c r="B32" s="269"/>
    </row>
    <row r="33" ht="12.75">
      <c r="B33" s="269"/>
    </row>
    <row r="34" ht="12.75">
      <c r="B34" s="269"/>
    </row>
    <row r="35" ht="12.75">
      <c r="B35" s="269"/>
    </row>
    <row r="36" ht="12.75">
      <c r="B36" s="269"/>
    </row>
  </sheetData>
  <sheetProtection sheet="1"/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rudolf Haufe 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GruschkeE</dc:creator>
  <cp:keywords/>
  <dc:description/>
  <cp:lastModifiedBy>Merla, Sebastian</cp:lastModifiedBy>
  <cp:lastPrinted>2017-12-14T13:36:59Z</cp:lastPrinted>
  <dcterms:created xsi:type="dcterms:W3CDTF">2002-03-25T11:38:10Z</dcterms:created>
  <dcterms:modified xsi:type="dcterms:W3CDTF">2018-04-02T09:39:32Z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0x0101001641FF85EF6CA649B7440CCC3F6B7359</vt:lpwstr>
  </property>
  <property fmtid="{D5CDD505-2E9C-101B-9397-08002B2CF9AE}" pid="3" name="Art">
    <vt:lpwstr>Muster &amp; Vorlagen Corporate</vt:lpwstr>
  </property>
  <property fmtid="{D5CDD505-2E9C-101B-9397-08002B2CF9AE}" pid="4" name="Geschäftsbereich von">
    <vt:lpwstr>Laqua, Martin</vt:lpwstr>
  </property>
  <property fmtid="{D5CDD505-2E9C-101B-9397-08002B2CF9AE}" pid="5" name="Dokumentenart">
    <vt:lpwstr>Reisen</vt:lpwstr>
  </property>
  <property fmtid="{D5CDD505-2E9C-101B-9397-08002B2CF9AE}" pid="6" name="display_urn:schemas-microsoft-com:office:office#ReportOwner">
    <vt:lpwstr>Koenigs, Ute</vt:lpwstr>
  </property>
  <property fmtid="{D5CDD505-2E9C-101B-9397-08002B2CF9AE}" pid="7" name="ContentType">
    <vt:lpwstr>Dokument</vt:lpwstr>
  </property>
  <property fmtid="{D5CDD505-2E9C-101B-9397-08002B2CF9AE}" pid="8" name="URL">
    <vt:lpwstr/>
  </property>
  <property fmtid="{D5CDD505-2E9C-101B-9397-08002B2CF9AE}" pid="9" name="Subject">
    <vt:lpwstr/>
  </property>
  <property fmtid="{D5CDD505-2E9C-101B-9397-08002B2CF9AE}" pid="10" name="Keywords">
    <vt:lpwstr/>
  </property>
  <property fmtid="{D5CDD505-2E9C-101B-9397-08002B2CF9AE}" pid="11" name="_Author">
    <vt:lpwstr>GruschkeE</vt:lpwstr>
  </property>
  <property fmtid="{D5CDD505-2E9C-101B-9397-08002B2CF9AE}" pid="12" name="_Category">
    <vt:lpwstr/>
  </property>
  <property fmtid="{D5CDD505-2E9C-101B-9397-08002B2CF9AE}" pid="13" name="Categories">
    <vt:lpwstr/>
  </property>
  <property fmtid="{D5CDD505-2E9C-101B-9397-08002B2CF9AE}" pid="14" name="Approval Level">
    <vt:lpwstr/>
  </property>
  <property fmtid="{D5CDD505-2E9C-101B-9397-08002B2CF9AE}" pid="15" name="_Comments">
    <vt:lpwstr/>
  </property>
  <property fmtid="{D5CDD505-2E9C-101B-9397-08002B2CF9AE}" pid="16" name="Assigned To">
    <vt:lpwstr/>
  </property>
  <property fmtid="{D5CDD505-2E9C-101B-9397-08002B2CF9AE}" pid="17" name="ReportOwner">
    <vt:lpwstr>142</vt:lpwstr>
  </property>
</Properties>
</file>